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Project Reports\Final\DCB calc tables\"/>
    </mc:Choice>
  </mc:AlternateContent>
  <xr:revisionPtr revIDLastSave="0" documentId="8_{F3CBE5F6-3E81-4B79-AA8F-890140E434FF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JBW stats above L. Newton R" sheetId="5" r:id="rId1"/>
    <sheet name="JBW stats above (Clipped)" sheetId="4" r:id="rId2"/>
    <sheet name="JBW stats below L. Newton R" sheetId="6" r:id="rId3"/>
    <sheet name="JBW stats below (Clipped)" sheetId="3" r:id="rId4"/>
    <sheet name="JBW (all stats)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1" l="1"/>
  <c r="I29" i="1"/>
  <c r="F42" i="3" l="1"/>
  <c r="F33" i="3"/>
  <c r="F23" i="3"/>
  <c r="F14" i="3"/>
  <c r="F47" i="4"/>
  <c r="F38" i="4"/>
  <c r="F19" i="4"/>
  <c r="F28" i="4"/>
  <c r="C39" i="4" l="1"/>
  <c r="B39" i="4"/>
  <c r="B18" i="1" l="1"/>
  <c r="B11" i="1"/>
  <c r="B10" i="1"/>
  <c r="E10" i="1" s="1"/>
  <c r="C9" i="1"/>
  <c r="E9" i="1" s="1"/>
  <c r="B9" i="1"/>
  <c r="C8" i="1"/>
  <c r="B8" i="1"/>
  <c r="B6" i="1" s="1"/>
  <c r="C7" i="1"/>
  <c r="B7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7" i="1"/>
  <c r="D6" i="1"/>
  <c r="C52" i="1"/>
  <c r="B52" i="1"/>
  <c r="C51" i="1"/>
  <c r="B51" i="1"/>
  <c r="C50" i="1"/>
  <c r="E50" i="1" s="1"/>
  <c r="B50" i="1"/>
  <c r="B49" i="1"/>
  <c r="E49" i="1" s="1"/>
  <c r="C48" i="1"/>
  <c r="B48" i="1"/>
  <c r="E39" i="1"/>
  <c r="E38" i="1"/>
  <c r="E32" i="1"/>
  <c r="E33" i="1"/>
  <c r="C43" i="1"/>
  <c r="B43" i="1"/>
  <c r="C42" i="1"/>
  <c r="E42" i="1" s="1"/>
  <c r="B42" i="1"/>
  <c r="C41" i="1"/>
  <c r="B41" i="1"/>
  <c r="E41" i="1" s="1"/>
  <c r="C40" i="1"/>
  <c r="B40" i="1"/>
  <c r="C32" i="1"/>
  <c r="C31" i="1"/>
  <c r="C30" i="1"/>
  <c r="C29" i="1"/>
  <c r="B32" i="1"/>
  <c r="B31" i="1"/>
  <c r="E31" i="1" s="1"/>
  <c r="B30" i="1"/>
  <c r="E30" i="1" s="1"/>
  <c r="B29" i="1"/>
  <c r="E29" i="1" s="1"/>
  <c r="E30" i="3"/>
  <c r="E29" i="3"/>
  <c r="E28" i="3"/>
  <c r="E12" i="6"/>
  <c r="E14" i="6"/>
  <c r="E13" i="3"/>
  <c r="E14" i="3"/>
  <c r="D6" i="3"/>
  <c r="C6" i="3"/>
  <c r="B6" i="3"/>
  <c r="D6" i="4"/>
  <c r="C6" i="4"/>
  <c r="B6" i="4"/>
  <c r="E43" i="1" l="1"/>
  <c r="E40" i="1"/>
  <c r="C6" i="1"/>
  <c r="E6" i="1" s="1"/>
  <c r="E8" i="1"/>
  <c r="E52" i="1"/>
  <c r="E51" i="1"/>
  <c r="E48" i="1"/>
  <c r="E6" i="3"/>
  <c r="E6" i="4"/>
  <c r="E42" i="6"/>
  <c r="E41" i="6"/>
  <c r="E40" i="6"/>
  <c r="E39" i="6"/>
  <c r="E38" i="6"/>
  <c r="E33" i="6"/>
  <c r="E32" i="6"/>
  <c r="E31" i="6"/>
  <c r="E30" i="6"/>
  <c r="E29" i="6"/>
  <c r="E28" i="6"/>
  <c r="E23" i="6"/>
  <c r="E22" i="6"/>
  <c r="E21" i="6"/>
  <c r="E20" i="6"/>
  <c r="E19" i="6"/>
  <c r="B13" i="6"/>
  <c r="E13" i="6" s="1"/>
  <c r="B11" i="6"/>
  <c r="E11" i="6" s="1"/>
  <c r="C10" i="6"/>
  <c r="B10" i="6"/>
  <c r="E10" i="6" s="1"/>
  <c r="C9" i="6"/>
  <c r="B9" i="6"/>
  <c r="E9" i="6" s="1"/>
  <c r="B8" i="6"/>
  <c r="E8" i="6" s="1"/>
  <c r="C7" i="6"/>
  <c r="B7" i="6"/>
  <c r="E47" i="5"/>
  <c r="E46" i="5"/>
  <c r="E45" i="5"/>
  <c r="E44" i="5"/>
  <c r="E43" i="5"/>
  <c r="E38" i="5"/>
  <c r="E37" i="5"/>
  <c r="E36" i="5"/>
  <c r="E35" i="5"/>
  <c r="E34" i="5"/>
  <c r="E33" i="5"/>
  <c r="E28" i="5"/>
  <c r="E27" i="5"/>
  <c r="E26" i="5"/>
  <c r="E25" i="5"/>
  <c r="E24" i="5"/>
  <c r="E19" i="5"/>
  <c r="E18" i="5"/>
  <c r="E17" i="5"/>
  <c r="E16" i="5"/>
  <c r="E15" i="5"/>
  <c r="B14" i="5"/>
  <c r="E14" i="5" s="1"/>
  <c r="C13" i="5"/>
  <c r="E13" i="5" s="1"/>
  <c r="E12" i="5"/>
  <c r="E11" i="5"/>
  <c r="E10" i="5"/>
  <c r="B9" i="5"/>
  <c r="E9" i="5" s="1"/>
  <c r="C8" i="5"/>
  <c r="B8" i="5"/>
  <c r="B7" i="5"/>
  <c r="E7" i="5" s="1"/>
  <c r="E39" i="3"/>
  <c r="E40" i="3"/>
  <c r="E41" i="3"/>
  <c r="E42" i="3"/>
  <c r="E38" i="3"/>
  <c r="E31" i="3"/>
  <c r="E32" i="3"/>
  <c r="E33" i="3"/>
  <c r="E20" i="3"/>
  <c r="E21" i="3"/>
  <c r="E22" i="3"/>
  <c r="E23" i="3"/>
  <c r="E19" i="3"/>
  <c r="E46" i="4"/>
  <c r="E47" i="4"/>
  <c r="E44" i="4"/>
  <c r="E45" i="4"/>
  <c r="E43" i="4"/>
  <c r="E33" i="4"/>
  <c r="E35" i="4"/>
  <c r="E36" i="4"/>
  <c r="E37" i="4"/>
  <c r="E38" i="4"/>
  <c r="E34" i="4"/>
  <c r="E25" i="4"/>
  <c r="E26" i="4"/>
  <c r="E27" i="4"/>
  <c r="E28" i="4"/>
  <c r="E24" i="4"/>
  <c r="C6" i="6" l="1"/>
  <c r="E7" i="6"/>
  <c r="B6" i="6"/>
  <c r="E6" i="6" s="1"/>
  <c r="E8" i="5"/>
  <c r="C6" i="5"/>
  <c r="B6" i="5"/>
  <c r="E8" i="3"/>
  <c r="E9" i="3"/>
  <c r="E10" i="3"/>
  <c r="E11" i="3"/>
  <c r="E12" i="3"/>
  <c r="E6" i="5" l="1"/>
  <c r="E7" i="3"/>
  <c r="E7" i="4"/>
  <c r="E14" i="4"/>
  <c r="E9" i="4"/>
  <c r="E10" i="4"/>
  <c r="E11" i="4"/>
  <c r="E12" i="4"/>
  <c r="E13" i="4"/>
  <c r="E15" i="4"/>
  <c r="E16" i="4"/>
  <c r="E17" i="4"/>
  <c r="E18" i="4"/>
  <c r="E19" i="4"/>
  <c r="E8" i="4" l="1"/>
</calcChain>
</file>

<file path=xl/sharedStrings.xml><?xml version="1.0" encoding="utf-8"?>
<sst xmlns="http://schemas.openxmlformats.org/spreadsheetml/2006/main" count="291" uniqueCount="55">
  <si>
    <t>No tile</t>
  </si>
  <si>
    <t>Total area</t>
  </si>
  <si>
    <t xml:space="preserve">Acreage of Agricultural Fields </t>
  </si>
  <si>
    <t>Soil Series (SSURGO)</t>
  </si>
  <si>
    <t>Bg</t>
  </si>
  <si>
    <t>Cv</t>
  </si>
  <si>
    <t>GeA</t>
  </si>
  <si>
    <t>GeB</t>
  </si>
  <si>
    <t>KbA</t>
  </si>
  <si>
    <t>Ly</t>
  </si>
  <si>
    <t>MeA</t>
  </si>
  <si>
    <t>MnA</t>
  </si>
  <si>
    <t>SaB</t>
  </si>
  <si>
    <t>Other</t>
  </si>
  <si>
    <t>ALL SOIL SERIES</t>
  </si>
  <si>
    <t>Continuous corn</t>
  </si>
  <si>
    <t>Corn/hay rotation</t>
  </si>
  <si>
    <t>Crop type</t>
  </si>
  <si>
    <t>Intersection of tile drained fields and soil series</t>
  </si>
  <si>
    <t>Intersection of tile drained fields and crop type</t>
  </si>
  <si>
    <t>Intersection of tile drained fields and soil test P (from NMP survey)</t>
  </si>
  <si>
    <t>Soil Test P class</t>
  </si>
  <si>
    <t>No data</t>
  </si>
  <si>
    <t>Low</t>
  </si>
  <si>
    <t>Medium</t>
  </si>
  <si>
    <t>Optimum</t>
  </si>
  <si>
    <t>High</t>
  </si>
  <si>
    <t>Excessive</t>
  </si>
  <si>
    <t>Permanent hay</t>
  </si>
  <si>
    <t>Fall application</t>
  </si>
  <si>
    <t>Spring application</t>
  </si>
  <si>
    <t>Multiple applications</t>
  </si>
  <si>
    <t>Intersection of tile drained fields and manure timing</t>
  </si>
  <si>
    <t>Summaries for the Jewett Brook Watershed above Lower Newton Road (USGS stream gage)</t>
  </si>
  <si>
    <t>Presence of Tile</t>
  </si>
  <si>
    <t>LoB</t>
  </si>
  <si>
    <t>Permanent pasture</t>
  </si>
  <si>
    <t>Unknown</t>
  </si>
  <si>
    <t>ScA</t>
  </si>
  <si>
    <t>Br</t>
  </si>
  <si>
    <t>WsA</t>
  </si>
  <si>
    <t>SaA</t>
  </si>
  <si>
    <t>Summaries for the Jewett Brook Watershed below Lower Newton Road (USGS stream gage)</t>
  </si>
  <si>
    <t>AuA</t>
  </si>
  <si>
    <t>LoC</t>
  </si>
  <si>
    <t>Summer application</t>
  </si>
  <si>
    <t>Unknown (Missing from NMP)</t>
  </si>
  <si>
    <t>Summaries for the Jewett Brook Watershed below Lower Newton Road (USGS stream gage) Clipped to JBW Boundary</t>
  </si>
  <si>
    <t>Summaries for the Jewett Brook Watershed above Lower Newton Road (USGS stream gage) Clipped to JBW Boundary</t>
  </si>
  <si>
    <t>Summaries for the whole Jewett Brook Watershed Clipped to JBW Boundary</t>
  </si>
  <si>
    <t>acre</t>
  </si>
  <si>
    <t>totals</t>
  </si>
  <si>
    <t>Corn</t>
  </si>
  <si>
    <t>Hay</t>
  </si>
  <si>
    <t>assumes 50/50 rotation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</si>
</sst>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0000"/>
    <numFmt numFmtId="165" formatCode="#,##0.000"/>
    <numFmt numFmtId="166" formatCode="0.0"/>
    <numFmt numFmtId="167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5" fillId="2" borderId="0" applyNumberFormat="0" applyBorder="0" applyAlignment="0" applyProtection="0"/>
    <xf numFmtId="0" fontId="4" fillId="3" borderId="2" applyNumberFormat="0" applyFont="0" applyAlignment="0" applyProtection="0"/>
    <xf numFmtId="43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0" xfId="0" applyNumberFormat="1" applyBorder="1" applyAlignment="1">
      <alignment horizontal="center"/>
    </xf>
    <xf numFmtId="0" fontId="3" fillId="0" borderId="1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Fill="1" applyBorder="1"/>
    <xf numFmtId="0" fontId="6" fillId="2" borderId="1" xfId="1" applyFont="1" applyBorder="1" applyAlignment="1">
      <alignment horizontal="center"/>
    </xf>
    <xf numFmtId="0" fontId="2" fillId="3" borderId="2" xfId="2" applyFont="1"/>
    <xf numFmtId="0" fontId="0" fillId="3" borderId="2" xfId="2" applyFont="1"/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/>
    <xf numFmtId="166" fontId="0" fillId="0" borderId="0" xfId="0" applyNumberFormat="1"/>
    <xf numFmtId="1" fontId="0" fillId="0" borderId="0" xfId="0" applyNumberFormat="1" applyBorder="1" applyAlignment="1">
      <alignment horizontal="right"/>
    </xf>
    <xf numFmtId="0" fontId="0" fillId="0" borderId="0" xfId="0"/>
    <xf numFmtId="167" fontId="0" fillId="0" borderId="0" xfId="3" applyNumberFormat="1" applyFont="1"/>
    <xf numFmtId="167" fontId="0" fillId="0" borderId="0" xfId="0" applyNumberFormat="1"/>
    <xf numFmtId="0" fontId="0" fillId="0" borderId="0" xfId="0"/>
    <xf numFmtId="166" fontId="0" fillId="0" borderId="0" xfId="0" applyNumberFormat="1" applyBorder="1" applyAlignment="1">
      <alignment horizontal="center"/>
    </xf>
    <xf numFmtId="167" fontId="0" fillId="0" borderId="0" xfId="3" applyNumberFormat="1" applyFont="1" applyBorder="1"/>
    <xf numFmtId="166" fontId="0" fillId="0" borderId="0" xfId="0" applyNumberFormat="1" applyBorder="1"/>
    <xf numFmtId="167" fontId="0" fillId="0" borderId="0" xfId="0" applyNumberFormat="1" applyBorder="1"/>
    <xf numFmtId="0" fontId="3" fillId="4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0" borderId="0" xfId="0" applyFill="1"/>
    <xf numFmtId="0" fontId="1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6" fillId="0" borderId="1" xfId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/>
  </cellXfs>
  <cellStyles count="4">
    <cellStyle name="Comma" xfId="3" builtinId="3"/>
    <cellStyle name="Good" xfId="1" builtinId="26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D8866-DD3E-413C-941E-724C8BB42FB4}">
  <sheetPr>
    <pageSetUpPr fitToPage="1"/>
  </sheetPr>
  <dimension ref="A1:F47"/>
  <sheetViews>
    <sheetView tabSelected="1" zoomScale="80" zoomScaleNormal="80" workbookViewId="0">
      <selection activeCell="I34" sqref="I34"/>
    </sheetView>
  </sheetViews>
  <sheetFormatPr defaultRowHeight="14.4" x14ac:dyDescent="0.3"/>
  <cols>
    <col min="1" max="1" width="23.6640625" customWidth="1"/>
    <col min="2" max="2" width="17" bestFit="1" customWidth="1"/>
    <col min="3" max="4" width="19.33203125" customWidth="1"/>
    <col min="5" max="5" width="22.5546875" customWidth="1"/>
    <col min="6" max="6" width="13.109375" customWidth="1"/>
  </cols>
  <sheetData>
    <row r="1" spans="1:6" ht="18" x14ac:dyDescent="0.35">
      <c r="A1" s="13" t="s">
        <v>33</v>
      </c>
      <c r="B1" s="14"/>
      <c r="C1" s="14"/>
      <c r="D1" s="14"/>
      <c r="E1" s="14"/>
    </row>
    <row r="2" spans="1:6" x14ac:dyDescent="0.3">
      <c r="A2" s="32"/>
      <c r="B2" s="32"/>
      <c r="C2" s="32"/>
      <c r="D2" s="32"/>
      <c r="E2" s="32"/>
    </row>
    <row r="3" spans="1:6" x14ac:dyDescent="0.3">
      <c r="A3" s="33" t="s">
        <v>18</v>
      </c>
      <c r="B3" s="32"/>
      <c r="C3" s="32"/>
      <c r="D3" s="32"/>
      <c r="E3" s="32"/>
    </row>
    <row r="4" spans="1:6" x14ac:dyDescent="0.3">
      <c r="A4" s="32"/>
      <c r="B4" s="38" t="s">
        <v>2</v>
      </c>
      <c r="C4" s="38"/>
      <c r="D4" s="38"/>
      <c r="E4" s="38"/>
      <c r="F4" s="8"/>
    </row>
    <row r="5" spans="1:6" x14ac:dyDescent="0.3">
      <c r="A5" s="34" t="s">
        <v>3</v>
      </c>
      <c r="B5" s="34" t="s">
        <v>34</v>
      </c>
      <c r="C5" s="34" t="s">
        <v>0</v>
      </c>
      <c r="D5" s="34" t="s">
        <v>37</v>
      </c>
      <c r="E5" s="34" t="s">
        <v>1</v>
      </c>
      <c r="F5" s="6"/>
    </row>
    <row r="6" spans="1:6" x14ac:dyDescent="0.3">
      <c r="A6" s="35" t="s">
        <v>14</v>
      </c>
      <c r="B6" s="17">
        <f xml:space="preserve"> SUM(B7:B19)</f>
        <v>1356.779</v>
      </c>
      <c r="C6" s="17">
        <f>SUM(C7:C19)</f>
        <v>204.91300000000004</v>
      </c>
      <c r="D6" s="17">
        <v>0</v>
      </c>
      <c r="E6" s="36">
        <f t="shared" ref="E6:E19" si="0" xml:space="preserve"> SUM(B6:C6)</f>
        <v>1561.692</v>
      </c>
      <c r="F6" s="6"/>
    </row>
    <row r="7" spans="1:6" x14ac:dyDescent="0.3">
      <c r="A7" s="11" t="s">
        <v>8</v>
      </c>
      <c r="B7" s="17">
        <f xml:space="preserve"> 22.254+30.209+30.455+33.255+11.848+15.136+25.425+19.488+69.487</f>
        <v>257.55700000000002</v>
      </c>
      <c r="C7" s="17">
        <v>0</v>
      </c>
      <c r="D7" s="17">
        <v>0</v>
      </c>
      <c r="E7" s="36">
        <f t="shared" si="0"/>
        <v>257.55700000000002</v>
      </c>
      <c r="F7" s="6"/>
    </row>
    <row r="8" spans="1:6" x14ac:dyDescent="0.3">
      <c r="A8" s="11" t="s">
        <v>10</v>
      </c>
      <c r="B8" s="17">
        <f xml:space="preserve"> 20.914+28.257+17.519+42.208+47.617+17.507+46.992+34.094+55.995+35.689+20.692+20.137+34.78+24.812+40.321</f>
        <v>487.53399999999999</v>
      </c>
      <c r="C8" s="17">
        <f xml:space="preserve"> 16.18+47.679+8.314+9.119+8.551+8.159+3.802</f>
        <v>101.80400000000002</v>
      </c>
      <c r="D8" s="17">
        <v>0</v>
      </c>
      <c r="E8" s="36">
        <f t="shared" si="0"/>
        <v>589.33799999999997</v>
      </c>
      <c r="F8" s="6"/>
    </row>
    <row r="9" spans="1:6" x14ac:dyDescent="0.3">
      <c r="A9" s="11" t="s">
        <v>5</v>
      </c>
      <c r="B9" s="17">
        <f xml:space="preserve"> 13.479+14.049+22.894</f>
        <v>50.421999999999997</v>
      </c>
      <c r="C9" s="17">
        <v>12.675000000000001</v>
      </c>
      <c r="D9" s="17">
        <v>0</v>
      </c>
      <c r="E9" s="36">
        <f t="shared" si="0"/>
        <v>63.096999999999994</v>
      </c>
      <c r="F9" s="6"/>
    </row>
    <row r="10" spans="1:6" x14ac:dyDescent="0.3">
      <c r="A10" s="11" t="s">
        <v>7</v>
      </c>
      <c r="B10" s="17">
        <v>21.253</v>
      </c>
      <c r="C10" s="17">
        <v>20.245999999999999</v>
      </c>
      <c r="D10" s="17">
        <v>0</v>
      </c>
      <c r="E10" s="36">
        <f t="shared" si="0"/>
        <v>41.498999999999995</v>
      </c>
      <c r="F10" s="6"/>
    </row>
    <row r="11" spans="1:6" x14ac:dyDescent="0.3">
      <c r="A11" s="11" t="s">
        <v>4</v>
      </c>
      <c r="B11" s="17">
        <v>194.196</v>
      </c>
      <c r="C11" s="37">
        <v>13.829000000000001</v>
      </c>
      <c r="D11" s="17">
        <v>0</v>
      </c>
      <c r="E11" s="36">
        <f t="shared" si="0"/>
        <v>208.02500000000001</v>
      </c>
      <c r="F11" s="6"/>
    </row>
    <row r="12" spans="1:6" x14ac:dyDescent="0.3">
      <c r="A12" s="11" t="s">
        <v>6</v>
      </c>
      <c r="B12" s="17">
        <v>52.334000000000003</v>
      </c>
      <c r="C12" s="17">
        <v>24.472999999999999</v>
      </c>
      <c r="D12" s="17">
        <v>0</v>
      </c>
      <c r="E12" s="36">
        <f t="shared" si="0"/>
        <v>76.807000000000002</v>
      </c>
      <c r="F12" s="6"/>
    </row>
    <row r="13" spans="1:6" x14ac:dyDescent="0.3">
      <c r="A13" s="11" t="s">
        <v>9</v>
      </c>
      <c r="B13" s="17">
        <v>11.135999999999999</v>
      </c>
      <c r="C13" s="17">
        <f>9.016+4.216</f>
        <v>13.231999999999999</v>
      </c>
      <c r="D13" s="17">
        <v>0</v>
      </c>
      <c r="E13" s="36">
        <f t="shared" si="0"/>
        <v>24.367999999999999</v>
      </c>
      <c r="F13" s="6"/>
    </row>
    <row r="14" spans="1:6" x14ac:dyDescent="0.3">
      <c r="A14" s="11" t="s">
        <v>35</v>
      </c>
      <c r="B14" s="17">
        <f xml:space="preserve"> 59.27+28.06</f>
        <v>87.33</v>
      </c>
      <c r="C14" s="17">
        <v>0</v>
      </c>
      <c r="D14" s="17">
        <v>0</v>
      </c>
      <c r="E14" s="36">
        <f t="shared" si="0"/>
        <v>87.33</v>
      </c>
      <c r="F14" s="6"/>
    </row>
    <row r="15" spans="1:6" x14ac:dyDescent="0.3">
      <c r="A15" s="11" t="s">
        <v>39</v>
      </c>
      <c r="B15" s="17">
        <v>19.63</v>
      </c>
      <c r="C15" s="17">
        <v>0</v>
      </c>
      <c r="D15" s="17">
        <v>0</v>
      </c>
      <c r="E15" s="36">
        <f t="shared" si="0"/>
        <v>19.63</v>
      </c>
      <c r="F15" s="6"/>
    </row>
    <row r="16" spans="1:6" x14ac:dyDescent="0.3">
      <c r="A16" s="11" t="s">
        <v>40</v>
      </c>
      <c r="B16" s="17">
        <v>12.124000000000001</v>
      </c>
      <c r="C16" s="17">
        <v>0</v>
      </c>
      <c r="D16" s="17">
        <v>0</v>
      </c>
      <c r="E16" s="36">
        <f t="shared" si="0"/>
        <v>12.124000000000001</v>
      </c>
      <c r="F16" s="6"/>
    </row>
    <row r="17" spans="1:6" x14ac:dyDescent="0.3">
      <c r="A17" s="11" t="s">
        <v>41</v>
      </c>
      <c r="B17" s="17">
        <v>11.259</v>
      </c>
      <c r="C17" s="17">
        <v>0</v>
      </c>
      <c r="D17" s="17">
        <v>0</v>
      </c>
      <c r="E17" s="36">
        <f t="shared" si="0"/>
        <v>11.259</v>
      </c>
      <c r="F17" s="6"/>
    </row>
    <row r="18" spans="1:6" x14ac:dyDescent="0.3">
      <c r="A18" s="11" t="s">
        <v>38</v>
      </c>
      <c r="B18" s="17">
        <v>123.464</v>
      </c>
      <c r="C18" s="17">
        <v>18.654</v>
      </c>
      <c r="D18" s="17">
        <v>0</v>
      </c>
      <c r="E18" s="36">
        <f t="shared" si="0"/>
        <v>142.11799999999999</v>
      </c>
      <c r="F18" s="6"/>
    </row>
    <row r="19" spans="1:6" x14ac:dyDescent="0.3">
      <c r="A19" s="11" t="s">
        <v>43</v>
      </c>
      <c r="B19" s="17">
        <v>28.54</v>
      </c>
      <c r="C19" s="17">
        <v>0</v>
      </c>
      <c r="D19" s="17">
        <v>0</v>
      </c>
      <c r="E19" s="36">
        <f t="shared" si="0"/>
        <v>28.54</v>
      </c>
      <c r="F19" s="6"/>
    </row>
    <row r="20" spans="1:6" x14ac:dyDescent="0.3">
      <c r="A20" s="32"/>
      <c r="B20" s="32"/>
      <c r="C20" s="32"/>
      <c r="D20" s="32"/>
      <c r="E20" s="32"/>
    </row>
    <row r="21" spans="1:6" x14ac:dyDescent="0.3">
      <c r="A21" s="33" t="s">
        <v>19</v>
      </c>
      <c r="B21" s="32"/>
      <c r="C21" s="32"/>
      <c r="D21" s="32"/>
      <c r="E21" s="32"/>
    </row>
    <row r="22" spans="1:6" x14ac:dyDescent="0.3">
      <c r="A22" s="32"/>
      <c r="B22" s="38" t="s">
        <v>2</v>
      </c>
      <c r="C22" s="38"/>
      <c r="D22" s="38"/>
      <c r="E22" s="38"/>
      <c r="F22" s="8"/>
    </row>
    <row r="23" spans="1:6" x14ac:dyDescent="0.3">
      <c r="A23" s="34" t="s">
        <v>17</v>
      </c>
      <c r="B23" s="34" t="s">
        <v>34</v>
      </c>
      <c r="C23" s="34" t="s">
        <v>0</v>
      </c>
      <c r="D23" s="34" t="s">
        <v>37</v>
      </c>
      <c r="E23" s="34" t="s">
        <v>1</v>
      </c>
      <c r="F23" s="6"/>
    </row>
    <row r="24" spans="1:6" x14ac:dyDescent="0.3">
      <c r="A24" s="11" t="s">
        <v>15</v>
      </c>
      <c r="B24" s="17">
        <v>772.98599999999999</v>
      </c>
      <c r="C24" s="17">
        <v>51.481000000000002</v>
      </c>
      <c r="D24" s="17">
        <v>0</v>
      </c>
      <c r="E24" s="36">
        <f xml:space="preserve"> SUM(B24:C24)</f>
        <v>824.46699999999998</v>
      </c>
      <c r="F24" s="6"/>
    </row>
    <row r="25" spans="1:6" x14ac:dyDescent="0.3">
      <c r="A25" s="11" t="s">
        <v>16</v>
      </c>
      <c r="B25" s="17">
        <v>522.50900000000001</v>
      </c>
      <c r="C25" s="17">
        <v>100.045</v>
      </c>
      <c r="D25" s="17">
        <v>0</v>
      </c>
      <c r="E25" s="36">
        <f xml:space="preserve"> SUM(B25:C25)</f>
        <v>622.55399999999997</v>
      </c>
      <c r="F25" s="7"/>
    </row>
    <row r="26" spans="1:6" x14ac:dyDescent="0.3">
      <c r="A26" s="11" t="s">
        <v>28</v>
      </c>
      <c r="B26" s="17">
        <v>61.284999999999997</v>
      </c>
      <c r="C26" s="17">
        <v>0</v>
      </c>
      <c r="D26" s="17">
        <v>0</v>
      </c>
      <c r="E26" s="36">
        <f xml:space="preserve"> SUM(B26:C26)</f>
        <v>61.284999999999997</v>
      </c>
      <c r="F26" s="7"/>
    </row>
    <row r="27" spans="1:6" x14ac:dyDescent="0.3">
      <c r="A27" s="11" t="s">
        <v>36</v>
      </c>
      <c r="B27" s="17">
        <v>0</v>
      </c>
      <c r="C27" s="17">
        <v>53.476999999999997</v>
      </c>
      <c r="D27" s="17">
        <v>0</v>
      </c>
      <c r="E27" s="36">
        <f xml:space="preserve"> SUM(B27:C27)</f>
        <v>53.476999999999997</v>
      </c>
      <c r="F27" s="7"/>
    </row>
    <row r="28" spans="1:6" x14ac:dyDescent="0.3">
      <c r="A28" s="11" t="s">
        <v>13</v>
      </c>
      <c r="B28" s="17">
        <v>0</v>
      </c>
      <c r="C28" s="17">
        <v>0</v>
      </c>
      <c r="D28" s="17">
        <v>0</v>
      </c>
      <c r="E28" s="36">
        <f xml:space="preserve"> SUM(B28:C28)</f>
        <v>0</v>
      </c>
      <c r="F28" s="7"/>
    </row>
    <row r="29" spans="1:6" x14ac:dyDescent="0.3">
      <c r="A29" s="32"/>
      <c r="B29" s="32"/>
      <c r="C29" s="32"/>
      <c r="D29" s="32"/>
      <c r="E29" s="32"/>
    </row>
    <row r="30" spans="1:6" x14ac:dyDescent="0.3">
      <c r="A30" s="33" t="s">
        <v>20</v>
      </c>
      <c r="B30" s="32"/>
      <c r="C30" s="32"/>
      <c r="D30" s="32"/>
      <c r="E30" s="32"/>
    </row>
    <row r="31" spans="1:6" x14ac:dyDescent="0.3">
      <c r="B31" s="39" t="s">
        <v>2</v>
      </c>
      <c r="C31" s="39"/>
      <c r="D31" s="39"/>
      <c r="E31" s="39"/>
      <c r="F31" s="8"/>
    </row>
    <row r="32" spans="1:6" x14ac:dyDescent="0.3">
      <c r="A32" s="9" t="s">
        <v>21</v>
      </c>
      <c r="B32" s="9" t="s">
        <v>34</v>
      </c>
      <c r="C32" s="9" t="s">
        <v>0</v>
      </c>
      <c r="D32" s="9" t="s">
        <v>37</v>
      </c>
      <c r="E32" s="9" t="s">
        <v>1</v>
      </c>
      <c r="F32" s="6"/>
    </row>
    <row r="33" spans="1:6" x14ac:dyDescent="0.3">
      <c r="A33" s="3" t="s">
        <v>22</v>
      </c>
      <c r="B33" s="2">
        <v>0</v>
      </c>
      <c r="C33" s="2">
        <v>0</v>
      </c>
      <c r="D33" s="2">
        <v>0</v>
      </c>
      <c r="E33" s="12">
        <f xml:space="preserve"> SUM(B33:D33)</f>
        <v>0</v>
      </c>
      <c r="F33" s="6"/>
    </row>
    <row r="34" spans="1:6" x14ac:dyDescent="0.3">
      <c r="A34" s="3" t="s">
        <v>23</v>
      </c>
      <c r="B34" s="2">
        <v>31.984999999999999</v>
      </c>
      <c r="C34" s="2">
        <v>0</v>
      </c>
      <c r="D34" s="2">
        <v>0</v>
      </c>
      <c r="E34" s="12">
        <f xml:space="preserve"> SUM(B34:D34)</f>
        <v>31.984999999999999</v>
      </c>
      <c r="F34" s="7"/>
    </row>
    <row r="35" spans="1:6" x14ac:dyDescent="0.3">
      <c r="A35" s="3" t="s">
        <v>24</v>
      </c>
      <c r="B35" s="2">
        <v>380.06</v>
      </c>
      <c r="C35" s="2">
        <v>0</v>
      </c>
      <c r="D35" s="2">
        <v>0</v>
      </c>
      <c r="E35" s="12">
        <f t="shared" ref="E35:E38" si="1" xml:space="preserve"> SUM(B35:D35)</f>
        <v>380.06</v>
      </c>
      <c r="F35" s="7"/>
    </row>
    <row r="36" spans="1:6" x14ac:dyDescent="0.3">
      <c r="A36" s="3" t="s">
        <v>25</v>
      </c>
      <c r="B36" s="2">
        <v>273.19400000000002</v>
      </c>
      <c r="C36" s="2">
        <v>54.481999999999999</v>
      </c>
      <c r="D36" s="2">
        <v>0</v>
      </c>
      <c r="E36" s="12">
        <f t="shared" si="1"/>
        <v>327.67600000000004</v>
      </c>
      <c r="F36" s="7"/>
    </row>
    <row r="37" spans="1:6" x14ac:dyDescent="0.3">
      <c r="A37" s="3" t="s">
        <v>26</v>
      </c>
      <c r="B37" s="2">
        <v>210.066</v>
      </c>
      <c r="C37" s="2">
        <v>104.369</v>
      </c>
      <c r="D37" s="2">
        <v>0</v>
      </c>
      <c r="E37" s="12">
        <f t="shared" si="1"/>
        <v>314.435</v>
      </c>
      <c r="F37" s="7"/>
    </row>
    <row r="38" spans="1:6" x14ac:dyDescent="0.3">
      <c r="A38" s="3" t="s">
        <v>27</v>
      </c>
      <c r="B38" s="2">
        <v>237.352</v>
      </c>
      <c r="C38" s="2">
        <v>3.802</v>
      </c>
      <c r="D38" s="2">
        <v>0</v>
      </c>
      <c r="E38" s="12">
        <f t="shared" si="1"/>
        <v>241.154</v>
      </c>
      <c r="F38" s="7"/>
    </row>
    <row r="40" spans="1:6" x14ac:dyDescent="0.3">
      <c r="A40" s="1" t="s">
        <v>32</v>
      </c>
    </row>
    <row r="41" spans="1:6" x14ac:dyDescent="0.3">
      <c r="B41" s="39" t="s">
        <v>2</v>
      </c>
      <c r="C41" s="39"/>
      <c r="D41" s="39"/>
      <c r="E41" s="39"/>
      <c r="F41" s="8"/>
    </row>
    <row r="42" spans="1:6" x14ac:dyDescent="0.3">
      <c r="A42" s="9" t="s">
        <v>21</v>
      </c>
      <c r="B42" s="9" t="s">
        <v>34</v>
      </c>
      <c r="C42" s="9" t="s">
        <v>0</v>
      </c>
      <c r="D42" s="9" t="s">
        <v>37</v>
      </c>
      <c r="E42" s="9" t="s">
        <v>1</v>
      </c>
      <c r="F42" s="6"/>
    </row>
    <row r="43" spans="1:6" x14ac:dyDescent="0.3">
      <c r="A43" s="3" t="s">
        <v>22</v>
      </c>
      <c r="B43" s="2">
        <v>289.68200000000002</v>
      </c>
      <c r="C43" s="2">
        <v>117.866</v>
      </c>
      <c r="D43" s="2">
        <v>0</v>
      </c>
      <c r="E43" s="12">
        <f xml:space="preserve"> SUM(B43:D43)</f>
        <v>407.548</v>
      </c>
      <c r="F43" s="6"/>
    </row>
    <row r="44" spans="1:6" x14ac:dyDescent="0.3">
      <c r="A44" s="3" t="s">
        <v>29</v>
      </c>
      <c r="B44" s="2">
        <v>505.93099999999998</v>
      </c>
      <c r="C44" s="2">
        <v>3.802</v>
      </c>
      <c r="D44" s="2">
        <v>0</v>
      </c>
      <c r="E44" s="12">
        <f t="shared" ref="E44:E47" si="2" xml:space="preserve"> SUM(B44:D44)</f>
        <v>509.733</v>
      </c>
      <c r="F44" s="7"/>
    </row>
    <row r="45" spans="1:6" x14ac:dyDescent="0.3">
      <c r="A45" s="3" t="s">
        <v>30</v>
      </c>
      <c r="B45" s="2">
        <v>279.26</v>
      </c>
      <c r="C45" s="2">
        <v>11.42</v>
      </c>
      <c r="D45" s="2">
        <v>0</v>
      </c>
      <c r="E45" s="12">
        <f t="shared" si="2"/>
        <v>290.68</v>
      </c>
      <c r="F45" s="7"/>
    </row>
    <row r="46" spans="1:6" x14ac:dyDescent="0.3">
      <c r="A46" s="3" t="s">
        <v>45</v>
      </c>
      <c r="B46" s="2">
        <v>197.13399999999999</v>
      </c>
      <c r="C46" s="2">
        <v>54.481999999999999</v>
      </c>
      <c r="D46" s="2">
        <v>0</v>
      </c>
      <c r="E46" s="12">
        <f t="shared" si="2"/>
        <v>251.61599999999999</v>
      </c>
      <c r="F46" s="7"/>
    </row>
    <row r="47" spans="1:6" x14ac:dyDescent="0.3">
      <c r="A47" s="3" t="s">
        <v>31</v>
      </c>
      <c r="B47" s="2">
        <v>84.772999999999996</v>
      </c>
      <c r="C47" s="2">
        <v>17.433</v>
      </c>
      <c r="D47" s="2">
        <v>0</v>
      </c>
      <c r="E47" s="12">
        <f t="shared" si="2"/>
        <v>102.20599999999999</v>
      </c>
      <c r="F47" s="7"/>
    </row>
  </sheetData>
  <mergeCells count="4">
    <mergeCell ref="B4:E4"/>
    <mergeCell ref="B22:E22"/>
    <mergeCell ref="B31:E31"/>
    <mergeCell ref="B41:E41"/>
  </mergeCells>
  <pageMargins left="0.7" right="0.7" top="0.75" bottom="0.75" header="0.3" footer="0.3"/>
  <pageSetup paperSize="17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D227B-106E-45AD-A307-CAAF650493B6}">
  <sheetPr>
    <pageSetUpPr fitToPage="1"/>
  </sheetPr>
  <dimension ref="A1:U47"/>
  <sheetViews>
    <sheetView topLeftCell="A7" zoomScale="80" zoomScaleNormal="80" workbookViewId="0">
      <selection activeCell="H39" sqref="H39"/>
    </sheetView>
  </sheetViews>
  <sheetFormatPr defaultRowHeight="14.4" x14ac:dyDescent="0.3"/>
  <cols>
    <col min="1" max="1" width="23.88671875" customWidth="1"/>
    <col min="2" max="2" width="17" bestFit="1" customWidth="1"/>
    <col min="3" max="5" width="19.33203125" customWidth="1"/>
    <col min="6" max="6" width="13.109375" customWidth="1"/>
    <col min="9" max="9" width="25" bestFit="1" customWidth="1"/>
    <col min="10" max="10" width="11.33203125" customWidth="1"/>
    <col min="11" max="11" width="11.33203125" style="18" customWidth="1"/>
    <col min="12" max="12" width="11.33203125" style="21" customWidth="1"/>
    <col min="13" max="13" width="6.5546875" customWidth="1"/>
    <col min="14" max="15" width="10" style="24" customWidth="1"/>
    <col min="16" max="16" width="10" customWidth="1"/>
    <col min="17" max="17" width="10" style="21" customWidth="1"/>
    <col min="18" max="21" width="10" customWidth="1"/>
  </cols>
  <sheetData>
    <row r="1" spans="1:21" ht="18" x14ac:dyDescent="0.35">
      <c r="A1" s="13" t="s">
        <v>48</v>
      </c>
      <c r="B1" s="14"/>
      <c r="C1" s="14"/>
      <c r="D1" s="14"/>
      <c r="E1" s="14"/>
      <c r="F1" s="14"/>
      <c r="G1" s="14"/>
      <c r="H1" s="14"/>
    </row>
    <row r="2" spans="1:21" x14ac:dyDescent="0.3">
      <c r="N2"/>
    </row>
    <row r="3" spans="1:21" x14ac:dyDescent="0.3">
      <c r="A3" s="1" t="s">
        <v>18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x14ac:dyDescent="0.3">
      <c r="B4" s="39" t="s">
        <v>2</v>
      </c>
      <c r="C4" s="39"/>
      <c r="D4" s="39"/>
      <c r="E4" s="39"/>
      <c r="F4" s="4" t="s">
        <v>51</v>
      </c>
      <c r="H4" s="7"/>
      <c r="I4" s="7"/>
      <c r="J4" s="6"/>
      <c r="K4" s="6"/>
      <c r="L4" s="25"/>
      <c r="M4" s="6"/>
      <c r="N4" s="6"/>
      <c r="O4" s="6"/>
      <c r="P4" s="6"/>
      <c r="Q4" s="6"/>
      <c r="R4" s="6"/>
      <c r="S4" s="6"/>
      <c r="T4" s="6"/>
      <c r="U4" s="6"/>
    </row>
    <row r="5" spans="1:21" x14ac:dyDescent="0.3">
      <c r="A5" s="9" t="s">
        <v>3</v>
      </c>
      <c r="B5" s="9" t="s">
        <v>34</v>
      </c>
      <c r="C5" s="9" t="s">
        <v>0</v>
      </c>
      <c r="D5" s="9" t="s">
        <v>37</v>
      </c>
      <c r="E5" s="9" t="s">
        <v>1</v>
      </c>
      <c r="F5" s="6"/>
      <c r="H5" s="7"/>
      <c r="I5" s="7"/>
      <c r="J5" s="26"/>
      <c r="K5" s="27"/>
      <c r="L5" s="27"/>
      <c r="M5" s="7"/>
      <c r="N5" s="27"/>
      <c r="O5" s="27"/>
      <c r="P5" s="27"/>
      <c r="Q5" s="27"/>
      <c r="R5" s="27"/>
      <c r="S5" s="27"/>
      <c r="T5" s="27"/>
      <c r="U5" s="27"/>
    </row>
    <row r="6" spans="1:21" x14ac:dyDescent="0.3">
      <c r="A6" s="5" t="s">
        <v>14</v>
      </c>
      <c r="B6" s="2">
        <f xml:space="preserve"> SUM(B7:B19)</f>
        <v>1277.8420000000001</v>
      </c>
      <c r="C6" s="2">
        <f xml:space="preserve"> SUM(C7:C19)</f>
        <v>183.38400000000001</v>
      </c>
      <c r="D6" s="2">
        <f xml:space="preserve"> SUM(D7:D19)</f>
        <v>0</v>
      </c>
      <c r="E6" s="12">
        <f xml:space="preserve"> SUM(B6:D6)</f>
        <v>1461.2260000000001</v>
      </c>
      <c r="F6" s="6"/>
      <c r="H6" s="7"/>
      <c r="I6" s="7"/>
      <c r="J6" s="26"/>
      <c r="K6" s="27"/>
      <c r="L6" s="27"/>
      <c r="M6" s="7"/>
      <c r="N6" s="27"/>
      <c r="O6" s="27"/>
      <c r="P6" s="27"/>
      <c r="Q6" s="27"/>
      <c r="R6" s="27"/>
      <c r="S6" s="27"/>
      <c r="T6" s="27"/>
      <c r="U6" s="27"/>
    </row>
    <row r="7" spans="1:21" x14ac:dyDescent="0.3">
      <c r="A7" s="3" t="s">
        <v>8</v>
      </c>
      <c r="B7" s="2">
        <v>257.55700000000002</v>
      </c>
      <c r="C7" s="2">
        <v>0</v>
      </c>
      <c r="D7" s="2">
        <v>0</v>
      </c>
      <c r="E7" s="12">
        <f t="shared" ref="E7:E19" si="0" xml:space="preserve"> SUM(B7:C7)</f>
        <v>257.55700000000002</v>
      </c>
      <c r="F7" s="6"/>
      <c r="H7" s="7"/>
      <c r="I7" s="7"/>
      <c r="J7" s="28"/>
      <c r="K7" s="27"/>
      <c r="L7" s="27"/>
      <c r="M7" s="7"/>
      <c r="N7" s="27"/>
      <c r="O7" s="27"/>
      <c r="P7" s="27"/>
      <c r="Q7" s="27"/>
      <c r="R7" s="27"/>
      <c r="S7" s="27"/>
      <c r="T7" s="27"/>
      <c r="U7" s="27"/>
    </row>
    <row r="8" spans="1:21" x14ac:dyDescent="0.3">
      <c r="A8" s="3" t="s">
        <v>10</v>
      </c>
      <c r="B8" s="2">
        <v>455.29199999999997</v>
      </c>
      <c r="C8" s="2">
        <v>80.185000000000002</v>
      </c>
      <c r="D8" s="2">
        <v>0</v>
      </c>
      <c r="E8" s="12">
        <f t="shared" si="0"/>
        <v>535.47699999999998</v>
      </c>
      <c r="F8" s="6"/>
      <c r="H8" s="7"/>
      <c r="I8" s="7"/>
      <c r="J8" s="7"/>
      <c r="K8" s="20"/>
      <c r="L8" s="20"/>
      <c r="M8" s="7"/>
      <c r="N8" s="7"/>
      <c r="O8" s="7"/>
      <c r="P8" s="7"/>
      <c r="Q8" s="7"/>
      <c r="R8" s="7"/>
      <c r="S8" s="7"/>
      <c r="T8" s="7"/>
      <c r="U8" s="7"/>
    </row>
    <row r="9" spans="1:21" x14ac:dyDescent="0.3">
      <c r="A9" s="3" t="s">
        <v>5</v>
      </c>
      <c r="B9" s="2">
        <v>50.421999999999997</v>
      </c>
      <c r="C9" s="2">
        <v>32.920999999999999</v>
      </c>
      <c r="D9" s="2">
        <v>0</v>
      </c>
      <c r="E9" s="12">
        <f t="shared" si="0"/>
        <v>83.342999999999989</v>
      </c>
      <c r="F9" s="6"/>
    </row>
    <row r="10" spans="1:21" x14ac:dyDescent="0.3">
      <c r="A10" s="3" t="s">
        <v>7</v>
      </c>
      <c r="B10" s="2">
        <v>21.253</v>
      </c>
      <c r="C10" s="2">
        <v>0</v>
      </c>
      <c r="D10" s="2">
        <v>0</v>
      </c>
      <c r="E10" s="12">
        <f t="shared" si="0"/>
        <v>21.253</v>
      </c>
      <c r="F10" s="6"/>
    </row>
    <row r="11" spans="1:21" x14ac:dyDescent="0.3">
      <c r="A11" s="3" t="s">
        <v>4</v>
      </c>
      <c r="B11" s="2">
        <v>170.959</v>
      </c>
      <c r="C11" s="10">
        <v>13.829000000000001</v>
      </c>
      <c r="D11" s="2">
        <v>0</v>
      </c>
      <c r="E11" s="12">
        <f t="shared" si="0"/>
        <v>184.78800000000001</v>
      </c>
      <c r="F11" s="6"/>
      <c r="I11" s="21"/>
      <c r="J11" s="21"/>
      <c r="K11" s="21"/>
    </row>
    <row r="12" spans="1:21" x14ac:dyDescent="0.3">
      <c r="A12" s="3" t="s">
        <v>6</v>
      </c>
      <c r="B12" s="2">
        <v>52.334000000000003</v>
      </c>
      <c r="C12" s="2">
        <v>24.472999999999999</v>
      </c>
      <c r="D12" s="2">
        <v>0</v>
      </c>
      <c r="E12" s="12">
        <f t="shared" si="0"/>
        <v>76.807000000000002</v>
      </c>
      <c r="F12" s="6"/>
      <c r="I12" s="21"/>
      <c r="J12" s="22"/>
      <c r="K12" s="19"/>
      <c r="L12" s="19"/>
    </row>
    <row r="13" spans="1:21" x14ac:dyDescent="0.3">
      <c r="A13" s="3" t="s">
        <v>9</v>
      </c>
      <c r="B13" s="2">
        <v>11.135999999999999</v>
      </c>
      <c r="C13" s="2">
        <v>13.321999999999999</v>
      </c>
      <c r="D13" s="2">
        <v>0</v>
      </c>
      <c r="E13" s="12">
        <f t="shared" si="0"/>
        <v>24.457999999999998</v>
      </c>
      <c r="F13" s="6"/>
      <c r="I13" s="21"/>
      <c r="J13" s="22"/>
      <c r="K13" s="19"/>
      <c r="L13" s="19"/>
    </row>
    <row r="14" spans="1:21" x14ac:dyDescent="0.3">
      <c r="A14" s="3" t="s">
        <v>35</v>
      </c>
      <c r="B14" s="2">
        <v>65.835999999999999</v>
      </c>
      <c r="C14" s="2">
        <v>0</v>
      </c>
      <c r="D14" s="2">
        <v>0</v>
      </c>
      <c r="E14" s="12">
        <f t="shared" si="0"/>
        <v>65.835999999999999</v>
      </c>
      <c r="F14" s="6"/>
      <c r="I14" s="21"/>
      <c r="J14" s="23"/>
      <c r="K14" s="19"/>
      <c r="L14" s="19"/>
    </row>
    <row r="15" spans="1:21" x14ac:dyDescent="0.3">
      <c r="A15" s="3" t="s">
        <v>39</v>
      </c>
      <c r="B15" s="2">
        <v>19.63</v>
      </c>
      <c r="C15" s="2">
        <v>0</v>
      </c>
      <c r="D15" s="2">
        <v>0</v>
      </c>
      <c r="E15" s="12">
        <f t="shared" si="0"/>
        <v>19.63</v>
      </c>
      <c r="F15" s="6"/>
    </row>
    <row r="16" spans="1:21" x14ac:dyDescent="0.3">
      <c r="A16" s="3" t="s">
        <v>40</v>
      </c>
      <c r="B16" s="2">
        <v>10.16</v>
      </c>
      <c r="C16" s="2">
        <v>0</v>
      </c>
      <c r="D16" s="2">
        <v>0</v>
      </c>
      <c r="E16" s="12">
        <f t="shared" si="0"/>
        <v>10.16</v>
      </c>
      <c r="F16" s="6"/>
    </row>
    <row r="17" spans="1:6" x14ac:dyDescent="0.3">
      <c r="A17" s="3" t="s">
        <v>41</v>
      </c>
      <c r="B17" s="2">
        <v>11.259</v>
      </c>
      <c r="C17" s="2">
        <v>0</v>
      </c>
      <c r="D17" s="2">
        <v>0</v>
      </c>
      <c r="E17" s="12">
        <f t="shared" si="0"/>
        <v>11.259</v>
      </c>
      <c r="F17" s="6"/>
    </row>
    <row r="18" spans="1:6" x14ac:dyDescent="0.3">
      <c r="A18" s="3" t="s">
        <v>38</v>
      </c>
      <c r="B18" s="2">
        <v>123.464</v>
      </c>
      <c r="C18" s="2">
        <v>18.654</v>
      </c>
      <c r="D18" s="2">
        <v>0</v>
      </c>
      <c r="E18" s="12">
        <f t="shared" si="0"/>
        <v>142.11799999999999</v>
      </c>
      <c r="F18" s="6"/>
    </row>
    <row r="19" spans="1:6" x14ac:dyDescent="0.3">
      <c r="A19" s="3" t="s">
        <v>43</v>
      </c>
      <c r="B19" s="2">
        <v>28.54</v>
      </c>
      <c r="C19" s="2">
        <v>0</v>
      </c>
      <c r="D19" s="2">
        <v>0</v>
      </c>
      <c r="E19" s="12">
        <f t="shared" si="0"/>
        <v>28.54</v>
      </c>
      <c r="F19" s="25">
        <f>SUM(E7:E19)</f>
        <v>1461.2260000000003</v>
      </c>
    </row>
    <row r="21" spans="1:6" x14ac:dyDescent="0.3">
      <c r="A21" s="1" t="s">
        <v>19</v>
      </c>
    </row>
    <row r="22" spans="1:6" x14ac:dyDescent="0.3">
      <c r="B22" s="39" t="s">
        <v>2</v>
      </c>
      <c r="C22" s="39"/>
      <c r="D22" s="39"/>
      <c r="E22" s="39"/>
      <c r="F22" s="4"/>
    </row>
    <row r="23" spans="1:6" x14ac:dyDescent="0.3">
      <c r="A23" s="29" t="s">
        <v>17</v>
      </c>
      <c r="B23" s="29" t="s">
        <v>34</v>
      </c>
      <c r="C23" s="29" t="s">
        <v>0</v>
      </c>
      <c r="D23" s="9" t="s">
        <v>37</v>
      </c>
      <c r="E23" s="9" t="s">
        <v>1</v>
      </c>
      <c r="F23" s="6"/>
    </row>
    <row r="24" spans="1:6" x14ac:dyDescent="0.3">
      <c r="A24" s="30" t="s">
        <v>15</v>
      </c>
      <c r="B24" s="31">
        <v>711.87400000000002</v>
      </c>
      <c r="C24" s="31">
        <v>29.861999999999998</v>
      </c>
      <c r="D24" s="2">
        <v>0</v>
      </c>
      <c r="E24" s="12">
        <f xml:space="preserve"> SUM(B24:C24)</f>
        <v>741.73599999999999</v>
      </c>
      <c r="F24" s="6"/>
    </row>
    <row r="25" spans="1:6" x14ac:dyDescent="0.3">
      <c r="A25" s="30" t="s">
        <v>16</v>
      </c>
      <c r="B25" s="31">
        <v>520.54399999999998</v>
      </c>
      <c r="C25" s="31">
        <v>100.04600000000001</v>
      </c>
      <c r="D25" s="2">
        <v>0</v>
      </c>
      <c r="E25" s="12">
        <f xml:space="preserve"> SUM(B25:C25)</f>
        <v>620.59</v>
      </c>
      <c r="F25" s="7"/>
    </row>
    <row r="26" spans="1:6" x14ac:dyDescent="0.3">
      <c r="A26" s="30" t="s">
        <v>28</v>
      </c>
      <c r="B26" s="31">
        <v>45.424999999999997</v>
      </c>
      <c r="C26" s="31">
        <v>0</v>
      </c>
      <c r="D26" s="2">
        <v>0</v>
      </c>
      <c r="E26" s="12">
        <f xml:space="preserve"> SUM(B26:C26)</f>
        <v>45.424999999999997</v>
      </c>
      <c r="F26" s="7"/>
    </row>
    <row r="27" spans="1:6" x14ac:dyDescent="0.3">
      <c r="A27" s="30" t="s">
        <v>36</v>
      </c>
      <c r="B27" s="31">
        <v>0</v>
      </c>
      <c r="C27" s="31">
        <v>53.476999999999997</v>
      </c>
      <c r="D27" s="2">
        <v>0</v>
      </c>
      <c r="E27" s="12">
        <f xml:space="preserve"> SUM(B27:C27)</f>
        <v>53.476999999999997</v>
      </c>
      <c r="F27" s="7"/>
    </row>
    <row r="28" spans="1:6" x14ac:dyDescent="0.3">
      <c r="A28" s="30" t="s">
        <v>13</v>
      </c>
      <c r="B28" s="31">
        <v>0</v>
      </c>
      <c r="C28" s="31">
        <v>0</v>
      </c>
      <c r="D28" s="2">
        <v>0</v>
      </c>
      <c r="E28" s="12">
        <f xml:space="preserve"> SUM(B28:C28)</f>
        <v>0</v>
      </c>
      <c r="F28" s="27">
        <f>SUM(E24:E28)</f>
        <v>1461.2280000000001</v>
      </c>
    </row>
    <row r="30" spans="1:6" x14ac:dyDescent="0.3">
      <c r="A30" s="1" t="s">
        <v>20</v>
      </c>
    </row>
    <row r="31" spans="1:6" x14ac:dyDescent="0.3">
      <c r="B31" s="39" t="s">
        <v>2</v>
      </c>
      <c r="C31" s="39"/>
      <c r="D31" s="39"/>
      <c r="E31" s="39"/>
      <c r="F31" s="4"/>
    </row>
    <row r="32" spans="1:6" x14ac:dyDescent="0.3">
      <c r="A32" s="9" t="s">
        <v>21</v>
      </c>
      <c r="B32" s="9" t="s">
        <v>34</v>
      </c>
      <c r="C32" s="9" t="s">
        <v>0</v>
      </c>
      <c r="D32" s="9" t="s">
        <v>37</v>
      </c>
      <c r="E32" s="9" t="s">
        <v>1</v>
      </c>
      <c r="F32" s="6"/>
    </row>
    <row r="33" spans="1:6" x14ac:dyDescent="0.3">
      <c r="A33" s="3" t="s">
        <v>22</v>
      </c>
      <c r="B33" s="2">
        <v>0</v>
      </c>
      <c r="C33" s="2">
        <v>0</v>
      </c>
      <c r="D33" s="2">
        <v>0</v>
      </c>
      <c r="E33" s="12">
        <f xml:space="preserve"> SUM(B33:D33)</f>
        <v>0</v>
      </c>
      <c r="F33" s="6"/>
    </row>
    <row r="34" spans="1:6" x14ac:dyDescent="0.3">
      <c r="A34" s="3" t="s">
        <v>23</v>
      </c>
      <c r="B34" s="2">
        <v>31.984999999999999</v>
      </c>
      <c r="C34" s="2">
        <v>4.2160000000000002</v>
      </c>
      <c r="D34" s="2">
        <v>0</v>
      </c>
      <c r="E34" s="12">
        <f xml:space="preserve"> SUM(B34:D34)</f>
        <v>36.201000000000001</v>
      </c>
      <c r="F34" s="7"/>
    </row>
    <row r="35" spans="1:6" x14ac:dyDescent="0.3">
      <c r="A35" s="3" t="s">
        <v>24</v>
      </c>
      <c r="B35" s="2">
        <v>413.839</v>
      </c>
      <c r="C35" s="2">
        <v>0</v>
      </c>
      <c r="D35" s="2">
        <v>0</v>
      </c>
      <c r="E35" s="12">
        <f t="shared" ref="E35:E38" si="1" xml:space="preserve"> SUM(B35:D35)</f>
        <v>413.839</v>
      </c>
      <c r="F35" s="7"/>
    </row>
    <row r="36" spans="1:6" x14ac:dyDescent="0.3">
      <c r="A36" s="3" t="s">
        <v>25</v>
      </c>
      <c r="B36" s="2">
        <v>284.27100000000002</v>
      </c>
      <c r="C36" s="2">
        <v>76.263999999999996</v>
      </c>
      <c r="D36" s="2">
        <v>0</v>
      </c>
      <c r="E36" s="12">
        <f t="shared" si="1"/>
        <v>360.53500000000003</v>
      </c>
      <c r="F36" s="7"/>
    </row>
    <row r="37" spans="1:6" x14ac:dyDescent="0.3">
      <c r="A37" s="3" t="s">
        <v>26</v>
      </c>
      <c r="B37" s="2">
        <v>266.375</v>
      </c>
      <c r="C37" s="2">
        <v>91.869</v>
      </c>
      <c r="D37" s="2">
        <v>0</v>
      </c>
      <c r="E37" s="12">
        <f t="shared" si="1"/>
        <v>358.24400000000003</v>
      </c>
      <c r="F37" s="7"/>
    </row>
    <row r="38" spans="1:6" x14ac:dyDescent="0.3">
      <c r="A38" s="3" t="s">
        <v>27</v>
      </c>
      <c r="B38" s="2">
        <v>281.37400000000002</v>
      </c>
      <c r="C38" s="2">
        <v>11.035</v>
      </c>
      <c r="D38" s="2">
        <v>0</v>
      </c>
      <c r="E38" s="12">
        <f t="shared" si="1"/>
        <v>292.40900000000005</v>
      </c>
      <c r="F38" s="27">
        <f>SUM(E33:E38)</f>
        <v>1461.2280000000001</v>
      </c>
    </row>
    <row r="39" spans="1:6" x14ac:dyDescent="0.3">
      <c r="B39">
        <f>SUM(B33:B38)</f>
        <v>1277.8440000000001</v>
      </c>
      <c r="C39" s="21">
        <f>SUM(C33:C38)</f>
        <v>183.38399999999999</v>
      </c>
    </row>
    <row r="40" spans="1:6" x14ac:dyDescent="0.3">
      <c r="A40" s="1" t="s">
        <v>32</v>
      </c>
    </row>
    <row r="41" spans="1:6" x14ac:dyDescent="0.3">
      <c r="B41" s="39" t="s">
        <v>2</v>
      </c>
      <c r="C41" s="39"/>
      <c r="D41" s="39"/>
      <c r="E41" s="39"/>
      <c r="F41" s="4"/>
    </row>
    <row r="42" spans="1:6" x14ac:dyDescent="0.3">
      <c r="A42" s="9" t="s">
        <v>21</v>
      </c>
      <c r="B42" s="9" t="s">
        <v>34</v>
      </c>
      <c r="C42" s="9" t="s">
        <v>0</v>
      </c>
      <c r="D42" s="9" t="s">
        <v>37</v>
      </c>
      <c r="E42" s="9" t="s">
        <v>1</v>
      </c>
      <c r="F42" s="6"/>
    </row>
    <row r="43" spans="1:6" x14ac:dyDescent="0.3">
      <c r="A43" s="3" t="s">
        <v>22</v>
      </c>
      <c r="B43" s="2">
        <v>272.50299999999999</v>
      </c>
      <c r="C43" s="2">
        <v>96.247</v>
      </c>
      <c r="D43" s="2">
        <v>0</v>
      </c>
      <c r="E43" s="12">
        <f xml:space="preserve"> SUM(B43:D43)</f>
        <v>368.75</v>
      </c>
      <c r="F43" s="6"/>
    </row>
    <row r="44" spans="1:6" x14ac:dyDescent="0.3">
      <c r="A44" s="3" t="s">
        <v>29</v>
      </c>
      <c r="B44" s="2">
        <v>499.84399999999999</v>
      </c>
      <c r="C44" s="2">
        <v>3.802</v>
      </c>
      <c r="D44" s="2">
        <v>0</v>
      </c>
      <c r="E44" s="12">
        <f t="shared" ref="E44:E47" si="2" xml:space="preserve"> SUM(B44:D44)</f>
        <v>503.64600000000002</v>
      </c>
      <c r="F44" s="7"/>
    </row>
    <row r="45" spans="1:6" x14ac:dyDescent="0.3">
      <c r="A45" s="3" t="s">
        <v>30</v>
      </c>
      <c r="B45" s="2">
        <v>239.45</v>
      </c>
      <c r="C45" s="2">
        <v>11.42</v>
      </c>
      <c r="D45" s="2">
        <v>0</v>
      </c>
      <c r="E45" s="12">
        <f t="shared" si="2"/>
        <v>250.86999999999998</v>
      </c>
      <c r="F45" s="7"/>
    </row>
    <row r="46" spans="1:6" x14ac:dyDescent="0.3">
      <c r="A46" s="3" t="s">
        <v>45</v>
      </c>
      <c r="B46" s="2">
        <v>181.274</v>
      </c>
      <c r="C46" s="2">
        <v>54.481999999999999</v>
      </c>
      <c r="D46" s="2">
        <v>0</v>
      </c>
      <c r="E46" s="12">
        <f t="shared" si="2"/>
        <v>235.756</v>
      </c>
      <c r="F46" s="7"/>
    </row>
    <row r="47" spans="1:6" x14ac:dyDescent="0.3">
      <c r="A47" s="3" t="s">
        <v>31</v>
      </c>
      <c r="B47" s="2">
        <v>84.772000000000006</v>
      </c>
      <c r="C47" s="2">
        <v>17.433</v>
      </c>
      <c r="D47" s="2">
        <v>0</v>
      </c>
      <c r="E47" s="12">
        <f t="shared" si="2"/>
        <v>102.20500000000001</v>
      </c>
      <c r="F47" s="27">
        <f>SUM(E43:E47)</f>
        <v>1461.2269999999999</v>
      </c>
    </row>
  </sheetData>
  <mergeCells count="4">
    <mergeCell ref="B4:E4"/>
    <mergeCell ref="B22:E22"/>
    <mergeCell ref="B31:E31"/>
    <mergeCell ref="B41:E41"/>
  </mergeCells>
  <pageMargins left="0.7" right="0.7" top="0.75" bottom="0.75" header="0.3" footer="0.3"/>
  <pageSetup paperSize="17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44F64-A0B6-4F49-B620-210880DF6C89}">
  <sheetPr>
    <pageSetUpPr fitToPage="1"/>
  </sheetPr>
  <dimension ref="A1:E42"/>
  <sheetViews>
    <sheetView topLeftCell="A4" zoomScale="82" zoomScaleNormal="82" workbookViewId="0">
      <selection activeCell="A18" sqref="A18:C23"/>
    </sheetView>
  </sheetViews>
  <sheetFormatPr defaultRowHeight="14.4" x14ac:dyDescent="0.3"/>
  <cols>
    <col min="1" max="1" width="29.88671875" customWidth="1"/>
    <col min="2" max="2" width="16.5546875" bestFit="1" customWidth="1"/>
    <col min="3" max="4" width="19.33203125" customWidth="1"/>
    <col min="5" max="5" width="17.44140625" customWidth="1"/>
  </cols>
  <sheetData>
    <row r="1" spans="1:5" ht="18" x14ac:dyDescent="0.35">
      <c r="A1" s="13" t="s">
        <v>42</v>
      </c>
      <c r="B1" s="14"/>
      <c r="C1" s="14"/>
      <c r="D1" s="14"/>
      <c r="E1" s="14"/>
    </row>
    <row r="3" spans="1:5" x14ac:dyDescent="0.3">
      <c r="A3" s="1" t="s">
        <v>18</v>
      </c>
    </row>
    <row r="4" spans="1:5" x14ac:dyDescent="0.3">
      <c r="B4" s="39" t="s">
        <v>2</v>
      </c>
      <c r="C4" s="39"/>
      <c r="D4" s="39"/>
      <c r="E4" s="39"/>
    </row>
    <row r="5" spans="1:5" x14ac:dyDescent="0.3">
      <c r="A5" s="9" t="s">
        <v>3</v>
      </c>
      <c r="B5" s="9" t="s">
        <v>34</v>
      </c>
      <c r="C5" s="9" t="s">
        <v>0</v>
      </c>
      <c r="D5" s="9" t="s">
        <v>37</v>
      </c>
      <c r="E5" s="9" t="s">
        <v>1</v>
      </c>
    </row>
    <row r="6" spans="1:5" x14ac:dyDescent="0.3">
      <c r="A6" s="5" t="s">
        <v>14</v>
      </c>
      <c r="B6" s="2">
        <f xml:space="preserve"> SUM(B7:B14)</f>
        <v>1019.458</v>
      </c>
      <c r="C6" s="2">
        <f xml:space="preserve"> SUM(C7:C14)</f>
        <v>267.09099999999995</v>
      </c>
      <c r="D6" s="2">
        <v>0</v>
      </c>
      <c r="E6" s="12">
        <f t="shared" ref="E6:E12" si="0" xml:space="preserve"> SUM(B6:C6)</f>
        <v>1286.549</v>
      </c>
    </row>
    <row r="7" spans="1:5" x14ac:dyDescent="0.3">
      <c r="A7" s="3" t="s">
        <v>8</v>
      </c>
      <c r="B7" s="2">
        <f xml:space="preserve"> 38.344+13.509+13.254+48.257+21.881+34.38+82.718+25.903+22.572+11.895+25.524+17.116+5.776+16.321+88.038+28.528+37.439+15.453+26.492+9.548+4.63</f>
        <v>587.57799999999997</v>
      </c>
      <c r="C7" s="2">
        <f xml:space="preserve"> 7.448+8.118+31.857+25.609+16.798+7.84+4.963+7.056+16.874+9.526+5.492+5.6+4.836</f>
        <v>152.017</v>
      </c>
      <c r="D7" s="2">
        <v>0</v>
      </c>
      <c r="E7" s="12">
        <f t="shared" si="0"/>
        <v>739.59500000000003</v>
      </c>
    </row>
    <row r="8" spans="1:5" x14ac:dyDescent="0.3">
      <c r="A8" s="3" t="s">
        <v>10</v>
      </c>
      <c r="B8" s="2">
        <f>46.237+22.409+9.56+20.661+9.835+42.876</f>
        <v>151.578</v>
      </c>
      <c r="C8" s="2">
        <v>30.628</v>
      </c>
      <c r="D8" s="2">
        <v>0</v>
      </c>
      <c r="E8" s="12">
        <f t="shared" si="0"/>
        <v>182.20600000000002</v>
      </c>
    </row>
    <row r="9" spans="1:5" x14ac:dyDescent="0.3">
      <c r="A9" s="3" t="s">
        <v>5</v>
      </c>
      <c r="B9" s="2">
        <f>45.301+28.765+6.798+5.377+8.214+28.438</f>
        <v>122.893</v>
      </c>
      <c r="C9" s="2">
        <f xml:space="preserve"> 13.278+9.497+7.354</f>
        <v>30.128999999999998</v>
      </c>
      <c r="D9" s="2">
        <v>0</v>
      </c>
      <c r="E9" s="12">
        <f t="shared" si="0"/>
        <v>153.02199999999999</v>
      </c>
    </row>
    <row r="10" spans="1:5" x14ac:dyDescent="0.3">
      <c r="A10" s="3" t="s">
        <v>11</v>
      </c>
      <c r="B10" s="2">
        <f xml:space="preserve"> 32.277+26.835</f>
        <v>59.112000000000002</v>
      </c>
      <c r="C10" s="2">
        <f xml:space="preserve"> 16.981+6.269</f>
        <v>23.25</v>
      </c>
      <c r="D10" s="2">
        <v>0</v>
      </c>
      <c r="E10" s="12">
        <f t="shared" si="0"/>
        <v>82.361999999999995</v>
      </c>
    </row>
    <row r="11" spans="1:5" x14ac:dyDescent="0.3">
      <c r="A11" s="3" t="s">
        <v>6</v>
      </c>
      <c r="B11" s="2">
        <f>14.481+53.502</f>
        <v>67.983000000000004</v>
      </c>
      <c r="C11" s="2">
        <v>0</v>
      </c>
      <c r="D11" s="2">
        <v>0</v>
      </c>
      <c r="E11" s="12">
        <f t="shared" si="0"/>
        <v>67.983000000000004</v>
      </c>
    </row>
    <row r="12" spans="1:5" x14ac:dyDescent="0.3">
      <c r="A12" s="3" t="s">
        <v>44</v>
      </c>
      <c r="B12" s="2">
        <v>0</v>
      </c>
      <c r="C12" s="2">
        <v>21.231999999999999</v>
      </c>
      <c r="D12" s="2">
        <v>0</v>
      </c>
      <c r="E12" s="12">
        <f t="shared" si="0"/>
        <v>21.231999999999999</v>
      </c>
    </row>
    <row r="13" spans="1:5" x14ac:dyDescent="0.3">
      <c r="A13" s="3" t="s">
        <v>12</v>
      </c>
      <c r="B13" s="2">
        <f>30.314</f>
        <v>30.314</v>
      </c>
      <c r="C13" s="2">
        <v>0</v>
      </c>
      <c r="D13" s="2">
        <v>0</v>
      </c>
      <c r="E13" s="12">
        <f xml:space="preserve"> SUM(B13:D13)</f>
        <v>30.314</v>
      </c>
    </row>
    <row r="14" spans="1:5" x14ac:dyDescent="0.3">
      <c r="A14" s="11" t="s">
        <v>46</v>
      </c>
      <c r="B14" s="2">
        <v>0</v>
      </c>
      <c r="C14" s="2">
        <v>9.8350000000000009</v>
      </c>
      <c r="D14" s="2">
        <v>0</v>
      </c>
      <c r="E14" s="12">
        <f xml:space="preserve"> SUM(B14:D14)</f>
        <v>9.8350000000000009</v>
      </c>
    </row>
    <row r="16" spans="1:5" x14ac:dyDescent="0.3">
      <c r="A16" s="1" t="s">
        <v>19</v>
      </c>
    </row>
    <row r="17" spans="1:5" x14ac:dyDescent="0.3">
      <c r="B17" s="39" t="s">
        <v>2</v>
      </c>
      <c r="C17" s="39"/>
      <c r="D17" s="39"/>
      <c r="E17" s="39"/>
    </row>
    <row r="18" spans="1:5" x14ac:dyDescent="0.3">
      <c r="A18" s="29" t="s">
        <v>17</v>
      </c>
      <c r="B18" s="29" t="s">
        <v>34</v>
      </c>
      <c r="C18" s="29" t="s">
        <v>0</v>
      </c>
      <c r="D18" s="9" t="s">
        <v>37</v>
      </c>
      <c r="E18" s="9" t="s">
        <v>1</v>
      </c>
    </row>
    <row r="19" spans="1:5" x14ac:dyDescent="0.3">
      <c r="A19" s="30" t="s">
        <v>15</v>
      </c>
      <c r="B19" s="31">
        <v>523.12099999999998</v>
      </c>
      <c r="C19" s="31">
        <v>51.841999999999999</v>
      </c>
      <c r="D19" s="2">
        <v>0</v>
      </c>
      <c r="E19" s="12">
        <f xml:space="preserve"> SUM(B19:D19)</f>
        <v>574.96299999999997</v>
      </c>
    </row>
    <row r="20" spans="1:5" x14ac:dyDescent="0.3">
      <c r="A20" s="30" t="s">
        <v>16</v>
      </c>
      <c r="B20" s="31">
        <v>364.20400000000001</v>
      </c>
      <c r="C20" s="31">
        <v>107.804</v>
      </c>
      <c r="D20" s="2">
        <v>0</v>
      </c>
      <c r="E20" s="12">
        <f t="shared" ref="E20:E23" si="1" xml:space="preserve"> SUM(B20:D20)</f>
        <v>472.00800000000004</v>
      </c>
    </row>
    <row r="21" spans="1:5" x14ac:dyDescent="0.3">
      <c r="A21" s="30" t="s">
        <v>28</v>
      </c>
      <c r="B21" s="31">
        <v>169.946</v>
      </c>
      <c r="C21" s="31">
        <v>61.444000000000003</v>
      </c>
      <c r="D21" s="2">
        <v>0</v>
      </c>
      <c r="E21" s="12">
        <f t="shared" si="1"/>
        <v>231.39</v>
      </c>
    </row>
    <row r="22" spans="1:5" x14ac:dyDescent="0.3">
      <c r="A22" s="30" t="s">
        <v>36</v>
      </c>
      <c r="B22" s="31">
        <v>0</v>
      </c>
      <c r="C22" s="31">
        <v>7.3540000000000001</v>
      </c>
      <c r="D22" s="2">
        <v>0</v>
      </c>
      <c r="E22" s="12">
        <f t="shared" si="1"/>
        <v>7.3540000000000001</v>
      </c>
    </row>
    <row r="23" spans="1:5" x14ac:dyDescent="0.3">
      <c r="A23" s="30" t="s">
        <v>13</v>
      </c>
      <c r="B23" s="31">
        <v>0</v>
      </c>
      <c r="C23" s="31">
        <v>0</v>
      </c>
      <c r="D23" s="2">
        <v>0</v>
      </c>
      <c r="E23" s="12">
        <f t="shared" si="1"/>
        <v>0</v>
      </c>
    </row>
    <row r="25" spans="1:5" x14ac:dyDescent="0.3">
      <c r="A25" s="1" t="s">
        <v>20</v>
      </c>
    </row>
    <row r="26" spans="1:5" x14ac:dyDescent="0.3">
      <c r="B26" s="39" t="s">
        <v>2</v>
      </c>
      <c r="C26" s="39"/>
      <c r="D26" s="39"/>
      <c r="E26" s="39"/>
    </row>
    <row r="27" spans="1:5" x14ac:dyDescent="0.3">
      <c r="A27" s="9" t="s">
        <v>21</v>
      </c>
      <c r="B27" s="9" t="s">
        <v>34</v>
      </c>
      <c r="C27" s="9" t="s">
        <v>0</v>
      </c>
      <c r="D27" s="9" t="s">
        <v>37</v>
      </c>
      <c r="E27" s="9" t="s">
        <v>1</v>
      </c>
    </row>
    <row r="28" spans="1:5" x14ac:dyDescent="0.3">
      <c r="A28" s="3" t="s">
        <v>22</v>
      </c>
      <c r="B28" s="2">
        <v>0</v>
      </c>
      <c r="C28" s="2">
        <v>0</v>
      </c>
      <c r="D28" s="2">
        <v>0</v>
      </c>
      <c r="E28" s="12">
        <f xml:space="preserve"> SUM(B28:D28)</f>
        <v>0</v>
      </c>
    </row>
    <row r="29" spans="1:5" x14ac:dyDescent="0.3">
      <c r="A29" s="3" t="s">
        <v>23</v>
      </c>
      <c r="B29" s="2">
        <v>0</v>
      </c>
      <c r="C29" s="2">
        <v>0</v>
      </c>
      <c r="D29" s="2">
        <v>0</v>
      </c>
      <c r="E29" s="12">
        <f t="shared" ref="E29:E33" si="2" xml:space="preserve"> SUM(B29:D29)</f>
        <v>0</v>
      </c>
    </row>
    <row r="30" spans="1:5" x14ac:dyDescent="0.3">
      <c r="A30" s="3" t="s">
        <v>24</v>
      </c>
      <c r="B30" s="2">
        <v>91.381</v>
      </c>
      <c r="C30" s="2">
        <v>13.718</v>
      </c>
      <c r="D30" s="2">
        <v>0</v>
      </c>
      <c r="E30" s="12">
        <f t="shared" si="2"/>
        <v>105.099</v>
      </c>
    </row>
    <row r="31" spans="1:5" x14ac:dyDescent="0.3">
      <c r="A31" s="3" t="s">
        <v>25</v>
      </c>
      <c r="B31" s="2">
        <v>351.88</v>
      </c>
      <c r="C31" s="2">
        <v>89.135000000000005</v>
      </c>
      <c r="D31" s="2">
        <v>0</v>
      </c>
      <c r="E31" s="12">
        <f t="shared" si="2"/>
        <v>441.01499999999999</v>
      </c>
    </row>
    <row r="32" spans="1:5" x14ac:dyDescent="0.3">
      <c r="A32" s="3" t="s">
        <v>26</v>
      </c>
      <c r="B32" s="2">
        <v>386.58699999999999</v>
      </c>
      <c r="C32" s="2">
        <v>118.23699999999999</v>
      </c>
      <c r="D32" s="2">
        <v>0</v>
      </c>
      <c r="E32" s="12">
        <f t="shared" si="2"/>
        <v>504.82399999999996</v>
      </c>
    </row>
    <row r="33" spans="1:5" x14ac:dyDescent="0.3">
      <c r="A33" s="3" t="s">
        <v>27</v>
      </c>
      <c r="B33" s="2">
        <v>227.423</v>
      </c>
      <c r="C33" s="2">
        <v>7.3540000000000001</v>
      </c>
      <c r="D33" s="2">
        <v>0</v>
      </c>
      <c r="E33" s="12">
        <f t="shared" si="2"/>
        <v>234.77700000000002</v>
      </c>
    </row>
    <row r="35" spans="1:5" x14ac:dyDescent="0.3">
      <c r="A35" s="1" t="s">
        <v>32</v>
      </c>
    </row>
    <row r="36" spans="1:5" x14ac:dyDescent="0.3">
      <c r="B36" s="39" t="s">
        <v>2</v>
      </c>
      <c r="C36" s="39"/>
      <c r="D36" s="39"/>
      <c r="E36" s="39"/>
    </row>
    <row r="37" spans="1:5" x14ac:dyDescent="0.3">
      <c r="A37" s="9" t="s">
        <v>21</v>
      </c>
      <c r="B37" s="9" t="s">
        <v>34</v>
      </c>
      <c r="C37" s="9" t="s">
        <v>0</v>
      </c>
      <c r="D37" s="9" t="s">
        <v>37</v>
      </c>
      <c r="E37" s="9" t="s">
        <v>1</v>
      </c>
    </row>
    <row r="38" spans="1:5" x14ac:dyDescent="0.3">
      <c r="A38" s="3" t="s">
        <v>22</v>
      </c>
      <c r="B38" s="2">
        <v>142.465</v>
      </c>
      <c r="C38" s="2">
        <v>44.863</v>
      </c>
      <c r="D38" s="2">
        <v>0</v>
      </c>
      <c r="E38" s="12">
        <f xml:space="preserve"> SUM(B38:D38)</f>
        <v>187.328</v>
      </c>
    </row>
    <row r="39" spans="1:5" x14ac:dyDescent="0.3">
      <c r="A39" s="3" t="s">
        <v>29</v>
      </c>
      <c r="B39" s="2">
        <v>195.09800000000001</v>
      </c>
      <c r="C39" s="2">
        <v>0</v>
      </c>
      <c r="D39" s="2">
        <v>0</v>
      </c>
      <c r="E39" s="12">
        <f t="shared" ref="E39:E42" si="3" xml:space="preserve"> SUM(B39:D39)</f>
        <v>195.09800000000001</v>
      </c>
    </row>
    <row r="40" spans="1:5" x14ac:dyDescent="0.3">
      <c r="A40" s="3" t="s">
        <v>30</v>
      </c>
      <c r="B40" s="2">
        <v>400.59300000000002</v>
      </c>
      <c r="C40" s="2">
        <v>149.96600000000001</v>
      </c>
      <c r="D40" s="2">
        <v>0</v>
      </c>
      <c r="E40" s="12">
        <f t="shared" si="3"/>
        <v>550.55899999999997</v>
      </c>
    </row>
    <row r="41" spans="1:5" x14ac:dyDescent="0.3">
      <c r="A41" s="3" t="s">
        <v>45</v>
      </c>
      <c r="B41" s="2">
        <v>75.02</v>
      </c>
      <c r="C41" s="2">
        <v>8.1180000000000003</v>
      </c>
      <c r="D41" s="2">
        <v>0</v>
      </c>
      <c r="E41" s="12">
        <f t="shared" si="3"/>
        <v>83.137999999999991</v>
      </c>
    </row>
    <row r="42" spans="1:5" x14ac:dyDescent="0.3">
      <c r="A42" s="3" t="s">
        <v>31</v>
      </c>
      <c r="B42" s="2">
        <v>244.095</v>
      </c>
      <c r="C42" s="2">
        <v>25.497</v>
      </c>
      <c r="D42" s="2">
        <v>0</v>
      </c>
      <c r="E42" s="12">
        <f t="shared" si="3"/>
        <v>269.59199999999998</v>
      </c>
    </row>
  </sheetData>
  <mergeCells count="4">
    <mergeCell ref="B4:E4"/>
    <mergeCell ref="B17:E17"/>
    <mergeCell ref="B26:E26"/>
    <mergeCell ref="B36:E36"/>
  </mergeCells>
  <pageMargins left="0.7" right="0.7" top="0.75" bottom="0.75" header="0.3" footer="0.3"/>
  <pageSetup paperSize="1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2"/>
  <sheetViews>
    <sheetView topLeftCell="A10" zoomScale="82" zoomScaleNormal="82" workbookViewId="0">
      <selection activeCell="I11" sqref="I11"/>
    </sheetView>
  </sheetViews>
  <sheetFormatPr defaultRowHeight="14.4" x14ac:dyDescent="0.3"/>
  <cols>
    <col min="1" max="1" width="31.5546875" customWidth="1"/>
    <col min="2" max="2" width="16.5546875" bestFit="1" customWidth="1"/>
    <col min="3" max="5" width="19.33203125" customWidth="1"/>
    <col min="8" max="8" width="5.109375" customWidth="1"/>
  </cols>
  <sheetData>
    <row r="1" spans="1:8" ht="18" x14ac:dyDescent="0.35">
      <c r="A1" s="13" t="s">
        <v>47</v>
      </c>
      <c r="B1" s="14"/>
      <c r="C1" s="14"/>
      <c r="D1" s="14"/>
      <c r="E1" s="14"/>
      <c r="F1" s="14"/>
      <c r="G1" s="14"/>
      <c r="H1" s="14"/>
    </row>
    <row r="3" spans="1:8" x14ac:dyDescent="0.3">
      <c r="A3" s="1" t="s">
        <v>18</v>
      </c>
    </row>
    <row r="4" spans="1:8" x14ac:dyDescent="0.3">
      <c r="B4" s="39" t="s">
        <v>2</v>
      </c>
      <c r="C4" s="39"/>
      <c r="D4" s="39"/>
      <c r="E4" s="39"/>
    </row>
    <row r="5" spans="1:8" x14ac:dyDescent="0.3">
      <c r="A5" s="9" t="s">
        <v>3</v>
      </c>
      <c r="B5" s="9" t="s">
        <v>34</v>
      </c>
      <c r="C5" s="9" t="s">
        <v>0</v>
      </c>
      <c r="D5" s="9" t="s">
        <v>37</v>
      </c>
      <c r="E5" s="9" t="s">
        <v>1</v>
      </c>
    </row>
    <row r="6" spans="1:8" x14ac:dyDescent="0.3">
      <c r="A6" s="5" t="s">
        <v>14</v>
      </c>
      <c r="B6" s="2">
        <f xml:space="preserve"> SUM(B7:B14)</f>
        <v>811.26499999999999</v>
      </c>
      <c r="C6" s="2">
        <f xml:space="preserve"> SUM(C7:C14)</f>
        <v>206.27699999999999</v>
      </c>
      <c r="D6" s="2">
        <f xml:space="preserve"> SUM(D7:D14)</f>
        <v>0</v>
      </c>
      <c r="E6" s="12">
        <f xml:space="preserve"> SUM(B6:D6)</f>
        <v>1017.5419999999999</v>
      </c>
    </row>
    <row r="7" spans="1:8" x14ac:dyDescent="0.3">
      <c r="A7" s="3" t="s">
        <v>8</v>
      </c>
      <c r="B7" s="2">
        <v>495.101</v>
      </c>
      <c r="C7" s="2">
        <v>144.57</v>
      </c>
      <c r="D7" s="2">
        <v>0</v>
      </c>
      <c r="E7" s="12">
        <f t="shared" ref="E7:E12" si="0" xml:space="preserve"> SUM(B7:C7)</f>
        <v>639.67100000000005</v>
      </c>
    </row>
    <row r="8" spans="1:8" x14ac:dyDescent="0.3">
      <c r="A8" s="3" t="s">
        <v>10</v>
      </c>
      <c r="B8" s="2">
        <v>110.002</v>
      </c>
      <c r="C8" s="2">
        <v>2.7040000000000002</v>
      </c>
      <c r="D8" s="2">
        <v>0</v>
      </c>
      <c r="E8" s="12">
        <f t="shared" si="0"/>
        <v>112.70599999999999</v>
      </c>
    </row>
    <row r="9" spans="1:8" x14ac:dyDescent="0.3">
      <c r="A9" s="3" t="s">
        <v>5</v>
      </c>
      <c r="B9" s="2">
        <v>110.53100000000001</v>
      </c>
      <c r="C9" s="2">
        <v>30.129000000000001</v>
      </c>
      <c r="D9" s="2">
        <v>0</v>
      </c>
      <c r="E9" s="12">
        <f t="shared" si="0"/>
        <v>140.66</v>
      </c>
    </row>
    <row r="10" spans="1:8" x14ac:dyDescent="0.3">
      <c r="A10" s="3" t="s">
        <v>11</v>
      </c>
      <c r="B10" s="2">
        <v>33.732999999999997</v>
      </c>
      <c r="C10" s="2">
        <v>23.25</v>
      </c>
      <c r="D10" s="2">
        <v>0</v>
      </c>
      <c r="E10" s="12">
        <f t="shared" si="0"/>
        <v>56.982999999999997</v>
      </c>
    </row>
    <row r="11" spans="1:8" x14ac:dyDescent="0.3">
      <c r="A11" s="3" t="s">
        <v>6</v>
      </c>
      <c r="B11" s="2">
        <v>49.942</v>
      </c>
      <c r="C11" s="2">
        <v>0</v>
      </c>
      <c r="D11" s="2">
        <v>0</v>
      </c>
      <c r="E11" s="12">
        <f t="shared" si="0"/>
        <v>49.942</v>
      </c>
    </row>
    <row r="12" spans="1:8" x14ac:dyDescent="0.3">
      <c r="A12" s="3" t="s">
        <v>44</v>
      </c>
      <c r="B12" s="2">
        <v>11.07</v>
      </c>
      <c r="C12" s="2">
        <v>0</v>
      </c>
      <c r="D12" s="2">
        <v>0</v>
      </c>
      <c r="E12" s="12">
        <f t="shared" si="0"/>
        <v>11.07</v>
      </c>
    </row>
    <row r="13" spans="1:8" x14ac:dyDescent="0.3">
      <c r="A13" s="3" t="s">
        <v>12</v>
      </c>
      <c r="B13" s="2">
        <v>0.88600000000000001</v>
      </c>
      <c r="C13" s="2">
        <v>0</v>
      </c>
      <c r="D13" s="2">
        <v>0</v>
      </c>
      <c r="E13" s="12">
        <f xml:space="preserve"> SUM(B13:D13)</f>
        <v>0.88600000000000001</v>
      </c>
    </row>
    <row r="14" spans="1:8" x14ac:dyDescent="0.3">
      <c r="A14" s="11" t="s">
        <v>46</v>
      </c>
      <c r="B14" s="2">
        <v>0</v>
      </c>
      <c r="C14" s="2">
        <v>5.6239999999999997</v>
      </c>
      <c r="D14" s="2">
        <v>0</v>
      </c>
      <c r="E14" s="12">
        <f xml:space="preserve"> SUM(B14:D14)</f>
        <v>5.6239999999999997</v>
      </c>
      <c r="F14" s="19">
        <f>SUM(E7:E14)</f>
        <v>1017.542</v>
      </c>
    </row>
    <row r="16" spans="1:8" x14ac:dyDescent="0.3">
      <c r="A16" s="1" t="s">
        <v>19</v>
      </c>
    </row>
    <row r="17" spans="1:6" x14ac:dyDescent="0.3">
      <c r="B17" s="39" t="s">
        <v>2</v>
      </c>
      <c r="C17" s="39"/>
      <c r="D17" s="39"/>
      <c r="E17" s="39"/>
    </row>
    <row r="18" spans="1:6" x14ac:dyDescent="0.3">
      <c r="A18" s="29" t="s">
        <v>17</v>
      </c>
      <c r="B18" s="29" t="s">
        <v>34</v>
      </c>
      <c r="C18" s="29" t="s">
        <v>0</v>
      </c>
      <c r="D18" s="9" t="s">
        <v>37</v>
      </c>
      <c r="E18" s="9" t="s">
        <v>1</v>
      </c>
    </row>
    <row r="19" spans="1:6" x14ac:dyDescent="0.3">
      <c r="A19" s="30" t="s">
        <v>15</v>
      </c>
      <c r="B19" s="31">
        <v>400.1</v>
      </c>
      <c r="C19" s="31">
        <v>47.631999999999998</v>
      </c>
      <c r="D19" s="2">
        <v>0</v>
      </c>
      <c r="E19" s="12">
        <f xml:space="preserve"> SUM(B19:D19)</f>
        <v>447.73200000000003</v>
      </c>
    </row>
    <row r="20" spans="1:6" x14ac:dyDescent="0.3">
      <c r="A20" s="30" t="s">
        <v>16</v>
      </c>
      <c r="B20" s="31">
        <v>289.80700000000002</v>
      </c>
      <c r="C20" s="31">
        <v>89.846999999999994</v>
      </c>
      <c r="D20" s="2">
        <v>0</v>
      </c>
      <c r="E20" s="12">
        <f t="shared" ref="E20:E23" si="1" xml:space="preserve"> SUM(B20:D20)</f>
        <v>379.654</v>
      </c>
    </row>
    <row r="21" spans="1:6" x14ac:dyDescent="0.3">
      <c r="A21" s="30" t="s">
        <v>28</v>
      </c>
      <c r="B21" s="31">
        <v>121.358</v>
      </c>
      <c r="C21" s="31">
        <v>61.445</v>
      </c>
      <c r="D21" s="2">
        <v>0</v>
      </c>
      <c r="E21" s="12">
        <f t="shared" si="1"/>
        <v>182.803</v>
      </c>
    </row>
    <row r="22" spans="1:6" x14ac:dyDescent="0.3">
      <c r="A22" s="30" t="s">
        <v>36</v>
      </c>
      <c r="B22" s="31">
        <v>0</v>
      </c>
      <c r="C22" s="31">
        <v>7.3540000000000001</v>
      </c>
      <c r="D22" s="2">
        <v>0</v>
      </c>
      <c r="E22" s="12">
        <f t="shared" si="1"/>
        <v>7.3540000000000001</v>
      </c>
    </row>
    <row r="23" spans="1:6" x14ac:dyDescent="0.3">
      <c r="A23" s="30" t="s">
        <v>13</v>
      </c>
      <c r="B23" s="31">
        <v>0</v>
      </c>
      <c r="C23" s="31">
        <v>0</v>
      </c>
      <c r="D23" s="2">
        <v>0</v>
      </c>
      <c r="E23" s="12">
        <f t="shared" si="1"/>
        <v>0</v>
      </c>
      <c r="F23" s="19">
        <f>SUM(E19:E23)</f>
        <v>1017.543</v>
      </c>
    </row>
    <row r="25" spans="1:6" x14ac:dyDescent="0.3">
      <c r="A25" s="1" t="s">
        <v>20</v>
      </c>
    </row>
    <row r="26" spans="1:6" x14ac:dyDescent="0.3">
      <c r="B26" s="39" t="s">
        <v>2</v>
      </c>
      <c r="C26" s="39"/>
      <c r="D26" s="39"/>
      <c r="E26" s="39"/>
    </row>
    <row r="27" spans="1:6" x14ac:dyDescent="0.3">
      <c r="A27" s="9" t="s">
        <v>21</v>
      </c>
      <c r="B27" s="9" t="s">
        <v>34</v>
      </c>
      <c r="C27" s="9" t="s">
        <v>0</v>
      </c>
      <c r="D27" s="9" t="s">
        <v>37</v>
      </c>
      <c r="E27" s="9" t="s">
        <v>1</v>
      </c>
    </row>
    <row r="28" spans="1:6" x14ac:dyDescent="0.3">
      <c r="A28" s="3" t="s">
        <v>22</v>
      </c>
      <c r="B28" s="2">
        <v>0</v>
      </c>
      <c r="C28" s="2">
        <v>0</v>
      </c>
      <c r="D28" s="2">
        <v>0</v>
      </c>
      <c r="E28" s="12">
        <f xml:space="preserve"> SUM(B28:D28)</f>
        <v>0</v>
      </c>
    </row>
    <row r="29" spans="1:6" x14ac:dyDescent="0.3">
      <c r="A29" s="3" t="s">
        <v>23</v>
      </c>
      <c r="B29" s="2">
        <v>0</v>
      </c>
      <c r="C29" s="2">
        <v>0</v>
      </c>
      <c r="D29" s="2">
        <v>0</v>
      </c>
      <c r="E29" s="12">
        <f xml:space="preserve"> SUM(B29:D29)</f>
        <v>0</v>
      </c>
    </row>
    <row r="30" spans="1:6" x14ac:dyDescent="0.3">
      <c r="A30" s="3" t="s">
        <v>24</v>
      </c>
      <c r="B30" s="2">
        <v>71.162000000000006</v>
      </c>
      <c r="C30" s="2">
        <v>13.718</v>
      </c>
      <c r="D30" s="2">
        <v>0</v>
      </c>
      <c r="E30" s="12">
        <f xml:space="preserve"> SUM(B30:D30)</f>
        <v>84.88000000000001</v>
      </c>
    </row>
    <row r="31" spans="1:6" x14ac:dyDescent="0.3">
      <c r="A31" s="3" t="s">
        <v>25</v>
      </c>
      <c r="B31" s="2">
        <v>197.32900000000001</v>
      </c>
      <c r="C31" s="2">
        <v>89.212000000000003</v>
      </c>
      <c r="D31" s="2">
        <v>0</v>
      </c>
      <c r="E31" s="12">
        <f t="shared" ref="E31:E33" si="2" xml:space="preserve"> SUM(B31:D31)</f>
        <v>286.541</v>
      </c>
    </row>
    <row r="32" spans="1:6" x14ac:dyDescent="0.3">
      <c r="A32" s="3" t="s">
        <v>26</v>
      </c>
      <c r="B32" s="2">
        <v>333.392</v>
      </c>
      <c r="C32" s="2">
        <v>95.992999999999995</v>
      </c>
      <c r="D32" s="2">
        <v>0</v>
      </c>
      <c r="E32" s="12">
        <f t="shared" si="2"/>
        <v>429.38499999999999</v>
      </c>
    </row>
    <row r="33" spans="1:6" x14ac:dyDescent="0.3">
      <c r="A33" s="3" t="s">
        <v>27</v>
      </c>
      <c r="B33" s="2">
        <v>209.381</v>
      </c>
      <c r="C33" s="2">
        <v>7.3540000000000001</v>
      </c>
      <c r="D33" s="2">
        <v>0</v>
      </c>
      <c r="E33" s="12">
        <f t="shared" si="2"/>
        <v>216.73500000000001</v>
      </c>
      <c r="F33" s="19">
        <f>SUM(E28:E33)</f>
        <v>1017.5410000000001</v>
      </c>
    </row>
    <row r="35" spans="1:6" x14ac:dyDescent="0.3">
      <c r="A35" s="1" t="s">
        <v>32</v>
      </c>
    </row>
    <row r="36" spans="1:6" x14ac:dyDescent="0.3">
      <c r="B36" s="39" t="s">
        <v>2</v>
      </c>
      <c r="C36" s="39"/>
      <c r="D36" s="39"/>
      <c r="E36" s="39"/>
    </row>
    <row r="37" spans="1:6" x14ac:dyDescent="0.3">
      <c r="A37" s="9" t="s">
        <v>21</v>
      </c>
      <c r="B37" s="9" t="s">
        <v>34</v>
      </c>
      <c r="C37" s="9" t="s">
        <v>0</v>
      </c>
      <c r="D37" s="9" t="s">
        <v>37</v>
      </c>
      <c r="E37" s="9" t="s">
        <v>1</v>
      </c>
    </row>
    <row r="38" spans="1:6" x14ac:dyDescent="0.3">
      <c r="A38" s="3" t="s">
        <v>22</v>
      </c>
      <c r="B38" s="2">
        <v>106.09399999999999</v>
      </c>
      <c r="C38" s="2">
        <v>40.652999999999999</v>
      </c>
      <c r="D38" s="2">
        <v>0</v>
      </c>
      <c r="E38" s="12">
        <f xml:space="preserve"> SUM(B38:D38)</f>
        <v>146.74699999999999</v>
      </c>
    </row>
    <row r="39" spans="1:6" x14ac:dyDescent="0.3">
      <c r="A39" s="3" t="s">
        <v>29</v>
      </c>
      <c r="B39" s="2">
        <v>117.108</v>
      </c>
      <c r="C39" s="2">
        <v>0</v>
      </c>
      <c r="D39" s="2">
        <v>0</v>
      </c>
      <c r="E39" s="12">
        <f t="shared" ref="E39:E42" si="3" xml:space="preserve"> SUM(B39:D39)</f>
        <v>117.108</v>
      </c>
    </row>
    <row r="40" spans="1:6" x14ac:dyDescent="0.3">
      <c r="A40" s="3" t="s">
        <v>30</v>
      </c>
      <c r="B40" s="2">
        <v>349.80099999999999</v>
      </c>
      <c r="C40" s="2">
        <v>149.96600000000001</v>
      </c>
      <c r="D40" s="2">
        <v>0</v>
      </c>
      <c r="E40" s="12">
        <f t="shared" si="3"/>
        <v>499.767</v>
      </c>
    </row>
    <row r="41" spans="1:6" x14ac:dyDescent="0.3">
      <c r="A41" s="3" t="s">
        <v>45</v>
      </c>
      <c r="B41" s="2">
        <v>75.021000000000001</v>
      </c>
      <c r="C41" s="2">
        <v>8.1180000000000003</v>
      </c>
      <c r="D41" s="2">
        <v>0</v>
      </c>
      <c r="E41" s="12">
        <f t="shared" si="3"/>
        <v>83.138999999999996</v>
      </c>
    </row>
    <row r="42" spans="1:6" x14ac:dyDescent="0.3">
      <c r="A42" s="3" t="s">
        <v>31</v>
      </c>
      <c r="B42" s="2">
        <v>163.285</v>
      </c>
      <c r="C42" s="2">
        <v>7.5410000000000004</v>
      </c>
      <c r="D42" s="2">
        <v>0</v>
      </c>
      <c r="E42" s="12">
        <f t="shared" si="3"/>
        <v>170.82599999999999</v>
      </c>
      <c r="F42" s="19">
        <f>SUM(E38:E42)</f>
        <v>1017.5870000000001</v>
      </c>
    </row>
  </sheetData>
  <mergeCells count="4">
    <mergeCell ref="B4:E4"/>
    <mergeCell ref="B17:E17"/>
    <mergeCell ref="B26:E26"/>
    <mergeCell ref="B36:E36"/>
  </mergeCells>
  <pageMargins left="0.7" right="0.7" top="0.75" bottom="0.75" header="0.3" footer="0.3"/>
  <pageSetup paperSize="1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opLeftCell="A10" zoomScale="84" zoomScaleNormal="84" workbookViewId="0">
      <selection activeCell="H28" sqref="H28:I31"/>
    </sheetView>
  </sheetViews>
  <sheetFormatPr defaultRowHeight="14.4" x14ac:dyDescent="0.3"/>
  <cols>
    <col min="1" max="1" width="28.5546875" customWidth="1"/>
    <col min="2" max="2" width="17.88671875" customWidth="1"/>
    <col min="3" max="3" width="14.88671875" customWidth="1"/>
    <col min="4" max="4" width="13.88671875" customWidth="1"/>
    <col min="5" max="5" width="16" customWidth="1"/>
    <col min="7" max="7" width="8.5546875" customWidth="1"/>
    <col min="8" max="8" width="25.109375" customWidth="1"/>
    <col min="9" max="9" width="15.33203125" bestFit="1" customWidth="1"/>
    <col min="14" max="14" width="28.5546875" customWidth="1"/>
    <col min="15" max="15" width="16.88671875" customWidth="1"/>
    <col min="16" max="16" width="8.33203125" bestFit="1" customWidth="1"/>
    <col min="17" max="17" width="9.5546875" bestFit="1" customWidth="1"/>
    <col min="18" max="18" width="9.6640625" bestFit="1" customWidth="1"/>
  </cols>
  <sheetData>
    <row r="1" spans="1:18" ht="18" x14ac:dyDescent="0.35">
      <c r="A1" s="13" t="s">
        <v>49</v>
      </c>
      <c r="B1" s="14"/>
      <c r="C1" s="14"/>
      <c r="D1" s="14"/>
      <c r="E1" s="14"/>
    </row>
    <row r="3" spans="1:18" x14ac:dyDescent="0.3">
      <c r="A3" s="1" t="s">
        <v>18</v>
      </c>
    </row>
    <row r="4" spans="1:18" x14ac:dyDescent="0.3">
      <c r="B4" s="39"/>
      <c r="C4" s="39"/>
      <c r="D4" s="39"/>
      <c r="E4" s="39"/>
      <c r="O4" s="40"/>
      <c r="P4" s="40"/>
      <c r="Q4" s="40"/>
      <c r="R4" s="40"/>
    </row>
    <row r="5" spans="1:18" x14ac:dyDescent="0.3">
      <c r="A5" s="9" t="s">
        <v>3</v>
      </c>
      <c r="B5" s="9" t="s">
        <v>34</v>
      </c>
      <c r="C5" s="9" t="s">
        <v>0</v>
      </c>
      <c r="D5" s="9" t="s">
        <v>37</v>
      </c>
      <c r="E5" s="9" t="s">
        <v>1</v>
      </c>
      <c r="G5" s="15"/>
    </row>
    <row r="6" spans="1:18" x14ac:dyDescent="0.3">
      <c r="A6" s="5" t="s">
        <v>14</v>
      </c>
      <c r="B6" s="2">
        <f xml:space="preserve"> SUM(B7:B24)</f>
        <v>2191.3829999999998</v>
      </c>
      <c r="C6" s="2">
        <f xml:space="preserve"> SUM(C7:C24)</f>
        <v>414.13400000000007</v>
      </c>
      <c r="D6" s="2">
        <f xml:space="preserve"> SUM(D7:D24)</f>
        <v>0</v>
      </c>
      <c r="E6" s="12">
        <f xml:space="preserve"> SUM(B6:D6)</f>
        <v>2605.5169999999998</v>
      </c>
      <c r="G6" s="16"/>
    </row>
    <row r="7" spans="1:18" x14ac:dyDescent="0.3">
      <c r="A7" s="3" t="s">
        <v>8</v>
      </c>
      <c r="B7" s="2">
        <f xml:space="preserve"> 257.557+495.101</f>
        <v>752.65800000000002</v>
      </c>
      <c r="C7" s="2">
        <f xml:space="preserve"> 144.57</f>
        <v>144.57</v>
      </c>
      <c r="D7" s="2">
        <v>0</v>
      </c>
      <c r="E7" s="12">
        <f xml:space="preserve"> SUM(B7:D7)</f>
        <v>897.22800000000007</v>
      </c>
      <c r="G7" s="16"/>
    </row>
    <row r="8" spans="1:18" x14ac:dyDescent="0.3">
      <c r="A8" s="3" t="s">
        <v>10</v>
      </c>
      <c r="B8" s="2">
        <f xml:space="preserve"> 455.292+110.002</f>
        <v>565.29399999999998</v>
      </c>
      <c r="C8" s="2">
        <f xml:space="preserve"> 80.185+2.704</f>
        <v>82.888999999999996</v>
      </c>
      <c r="D8" s="2">
        <v>0</v>
      </c>
      <c r="E8" s="12">
        <f t="shared" ref="E8:E24" si="0" xml:space="preserve"> SUM(B8:D8)</f>
        <v>648.18299999999999</v>
      </c>
      <c r="G8" s="16"/>
    </row>
    <row r="9" spans="1:18" x14ac:dyDescent="0.3">
      <c r="A9" s="3" t="s">
        <v>5</v>
      </c>
      <c r="B9" s="2">
        <f xml:space="preserve"> 50.422+110.531</f>
        <v>160.953</v>
      </c>
      <c r="C9" s="2">
        <f>32.921+30.129</f>
        <v>63.05</v>
      </c>
      <c r="D9" s="2">
        <v>0</v>
      </c>
      <c r="E9" s="12">
        <f t="shared" si="0"/>
        <v>224.00299999999999</v>
      </c>
      <c r="G9" s="16"/>
    </row>
    <row r="10" spans="1:18" x14ac:dyDescent="0.3">
      <c r="A10" s="3" t="s">
        <v>6</v>
      </c>
      <c r="B10" s="2">
        <f xml:space="preserve"> 52.334 + 49.942</f>
        <v>102.27600000000001</v>
      </c>
      <c r="C10" s="2">
        <v>24.472999999999999</v>
      </c>
      <c r="D10" s="2">
        <v>0</v>
      </c>
      <c r="E10" s="12">
        <f t="shared" si="0"/>
        <v>126.74900000000001</v>
      </c>
      <c r="G10" s="16"/>
    </row>
    <row r="11" spans="1:18" x14ac:dyDescent="0.3">
      <c r="A11" s="3" t="s">
        <v>7</v>
      </c>
      <c r="B11" s="2">
        <f xml:space="preserve"> 21.253</f>
        <v>21.253</v>
      </c>
      <c r="C11" s="2">
        <v>0</v>
      </c>
      <c r="D11" s="2">
        <v>0</v>
      </c>
      <c r="E11" s="12">
        <f t="shared" si="0"/>
        <v>21.253</v>
      </c>
      <c r="G11" s="16"/>
    </row>
    <row r="12" spans="1:18" x14ac:dyDescent="0.3">
      <c r="A12" s="3" t="s">
        <v>41</v>
      </c>
      <c r="B12" s="2">
        <v>11.259</v>
      </c>
      <c r="C12" s="2">
        <v>0</v>
      </c>
      <c r="D12" s="2">
        <v>0</v>
      </c>
      <c r="E12" s="12">
        <f t="shared" si="0"/>
        <v>11.259</v>
      </c>
      <c r="G12" s="16"/>
    </row>
    <row r="13" spans="1:18" x14ac:dyDescent="0.3">
      <c r="A13" s="3" t="s">
        <v>12</v>
      </c>
      <c r="B13" s="2">
        <v>0.88600000000000001</v>
      </c>
      <c r="C13" s="2">
        <v>0</v>
      </c>
      <c r="D13" s="2">
        <v>0</v>
      </c>
      <c r="E13" s="12">
        <f t="shared" si="0"/>
        <v>0.88600000000000001</v>
      </c>
      <c r="G13" s="16"/>
    </row>
    <row r="14" spans="1:18" x14ac:dyDescent="0.3">
      <c r="A14" s="3" t="s">
        <v>38</v>
      </c>
      <c r="B14" s="2">
        <v>123.464</v>
      </c>
      <c r="C14" s="2">
        <v>18.654</v>
      </c>
      <c r="D14" s="2">
        <v>0</v>
      </c>
      <c r="E14" s="12">
        <f t="shared" si="0"/>
        <v>142.11799999999999</v>
      </c>
      <c r="G14" s="16"/>
    </row>
    <row r="15" spans="1:18" x14ac:dyDescent="0.3">
      <c r="A15" s="3" t="s">
        <v>11</v>
      </c>
      <c r="B15" s="2">
        <v>33.732999999999997</v>
      </c>
      <c r="C15" s="2">
        <v>23.25</v>
      </c>
      <c r="D15" s="2">
        <v>0</v>
      </c>
      <c r="E15" s="12">
        <f t="shared" si="0"/>
        <v>56.982999999999997</v>
      </c>
      <c r="G15" s="16"/>
    </row>
    <row r="16" spans="1:18" x14ac:dyDescent="0.3">
      <c r="A16" s="3" t="s">
        <v>4</v>
      </c>
      <c r="B16" s="2">
        <v>170.959</v>
      </c>
      <c r="C16" s="2">
        <v>13.829000000000001</v>
      </c>
      <c r="D16" s="2">
        <v>0</v>
      </c>
      <c r="E16" s="12">
        <f t="shared" si="0"/>
        <v>184.78800000000001</v>
      </c>
      <c r="G16" s="16"/>
    </row>
    <row r="17" spans="1:18" x14ac:dyDescent="0.3">
      <c r="A17" s="3" t="s">
        <v>39</v>
      </c>
      <c r="B17" s="2">
        <v>19.63</v>
      </c>
      <c r="C17" s="2">
        <v>0</v>
      </c>
      <c r="D17" s="2">
        <v>0</v>
      </c>
      <c r="E17" s="12">
        <f t="shared" si="0"/>
        <v>19.63</v>
      </c>
      <c r="G17" s="16"/>
    </row>
    <row r="18" spans="1:18" x14ac:dyDescent="0.3">
      <c r="A18" s="3" t="s">
        <v>6</v>
      </c>
      <c r="B18" s="2">
        <f xml:space="preserve"> 52.334 + 49.942</f>
        <v>102.27600000000001</v>
      </c>
      <c r="C18" s="2">
        <v>24.472999999999999</v>
      </c>
      <c r="D18" s="2">
        <v>0</v>
      </c>
      <c r="E18" s="12">
        <f t="shared" si="0"/>
        <v>126.74900000000001</v>
      </c>
      <c r="G18" s="16"/>
    </row>
    <row r="19" spans="1:18" x14ac:dyDescent="0.3">
      <c r="A19" s="3" t="s">
        <v>40</v>
      </c>
      <c r="B19" s="2">
        <v>10.16</v>
      </c>
      <c r="C19" s="2">
        <v>0</v>
      </c>
      <c r="D19" s="2">
        <v>0</v>
      </c>
      <c r="E19" s="12">
        <f t="shared" si="0"/>
        <v>10.16</v>
      </c>
      <c r="G19" s="16"/>
    </row>
    <row r="20" spans="1:18" x14ac:dyDescent="0.3">
      <c r="A20" s="3" t="s">
        <v>9</v>
      </c>
      <c r="B20" s="2">
        <v>11.135999999999999</v>
      </c>
      <c r="C20" s="2">
        <v>13.321999999999999</v>
      </c>
      <c r="D20" s="2">
        <v>0</v>
      </c>
      <c r="E20" s="12">
        <f t="shared" si="0"/>
        <v>24.457999999999998</v>
      </c>
      <c r="G20" s="16"/>
    </row>
    <row r="21" spans="1:18" x14ac:dyDescent="0.3">
      <c r="A21" s="3" t="s">
        <v>44</v>
      </c>
      <c r="B21" s="2">
        <v>11.07</v>
      </c>
      <c r="C21" s="2">
        <v>0</v>
      </c>
      <c r="D21" s="2">
        <v>0</v>
      </c>
      <c r="E21" s="12">
        <f t="shared" si="0"/>
        <v>11.07</v>
      </c>
      <c r="G21" s="16"/>
    </row>
    <row r="22" spans="1:18" x14ac:dyDescent="0.3">
      <c r="A22" s="3" t="s">
        <v>43</v>
      </c>
      <c r="B22" s="2">
        <v>28.54</v>
      </c>
      <c r="C22" s="2">
        <v>0</v>
      </c>
      <c r="D22" s="2">
        <v>0</v>
      </c>
      <c r="E22" s="12">
        <f t="shared" si="0"/>
        <v>28.54</v>
      </c>
      <c r="G22" s="16"/>
    </row>
    <row r="23" spans="1:18" x14ac:dyDescent="0.3">
      <c r="A23" s="3" t="s">
        <v>35</v>
      </c>
      <c r="B23" s="2">
        <v>65.835999999999999</v>
      </c>
      <c r="C23" s="2">
        <v>0</v>
      </c>
      <c r="D23" s="2">
        <v>0</v>
      </c>
      <c r="E23" s="12">
        <f t="shared" si="0"/>
        <v>65.835999999999999</v>
      </c>
      <c r="G23" s="16"/>
    </row>
    <row r="24" spans="1:18" x14ac:dyDescent="0.3">
      <c r="A24" s="17" t="s">
        <v>46</v>
      </c>
      <c r="B24" s="2">
        <v>0</v>
      </c>
      <c r="C24" s="2">
        <v>5.6239999999999997</v>
      </c>
      <c r="D24" s="2">
        <v>0</v>
      </c>
      <c r="E24" s="12">
        <f t="shared" si="0"/>
        <v>5.6239999999999997</v>
      </c>
      <c r="G24" s="16"/>
    </row>
    <row r="26" spans="1:18" x14ac:dyDescent="0.3">
      <c r="A26" s="1" t="s">
        <v>19</v>
      </c>
      <c r="H26" s="1"/>
    </row>
    <row r="27" spans="1:18" x14ac:dyDescent="0.3">
      <c r="B27" s="39"/>
      <c r="C27" s="39"/>
      <c r="D27" s="39"/>
      <c r="E27" s="39"/>
      <c r="I27" s="39"/>
      <c r="J27" s="39"/>
      <c r="K27" s="39"/>
      <c r="L27" s="39"/>
      <c r="O27" s="39"/>
      <c r="P27" s="39"/>
      <c r="Q27" s="39"/>
      <c r="R27" s="39"/>
    </row>
    <row r="28" spans="1:18" x14ac:dyDescent="0.3">
      <c r="A28" s="9" t="s">
        <v>17</v>
      </c>
      <c r="B28" s="9" t="s">
        <v>34</v>
      </c>
      <c r="C28" s="9" t="s">
        <v>0</v>
      </c>
      <c r="D28" s="9" t="s">
        <v>37</v>
      </c>
      <c r="E28" s="9" t="s">
        <v>1</v>
      </c>
      <c r="I28" t="s">
        <v>50</v>
      </c>
    </row>
    <row r="29" spans="1:18" x14ac:dyDescent="0.3">
      <c r="A29" s="3" t="s">
        <v>15</v>
      </c>
      <c r="B29" s="2">
        <f xml:space="preserve"> 711.874+400.1</f>
        <v>1111.9740000000002</v>
      </c>
      <c r="C29" s="2">
        <f xml:space="preserve"> 29.862+47.632</f>
        <v>77.494</v>
      </c>
      <c r="D29" s="2">
        <v>0</v>
      </c>
      <c r="E29" s="12">
        <f xml:space="preserve"> SUM(B29:D29)</f>
        <v>1189.4680000000001</v>
      </c>
      <c r="H29" t="s">
        <v>52</v>
      </c>
      <c r="I29">
        <f>E29+E30/2</f>
        <v>1689.5900000000001</v>
      </c>
    </row>
    <row r="30" spans="1:18" x14ac:dyDescent="0.3">
      <c r="A30" s="3" t="s">
        <v>16</v>
      </c>
      <c r="B30" s="2">
        <f xml:space="preserve"> 520.544+289.807</f>
        <v>810.351</v>
      </c>
      <c r="C30" s="2">
        <f xml:space="preserve"> 100.046+89.847</f>
        <v>189.893</v>
      </c>
      <c r="D30" s="2">
        <v>0</v>
      </c>
      <c r="E30" s="12">
        <f t="shared" ref="E30:E33" si="1" xml:space="preserve"> SUM(B30:D30)</f>
        <v>1000.244</v>
      </c>
      <c r="H30" t="s">
        <v>53</v>
      </c>
      <c r="I30">
        <f>E31+E30/2</f>
        <v>728.35</v>
      </c>
    </row>
    <row r="31" spans="1:18" x14ac:dyDescent="0.3">
      <c r="A31" s="3" t="s">
        <v>28</v>
      </c>
      <c r="B31" s="2">
        <f xml:space="preserve"> 45.425+121.358</f>
        <v>166.78300000000002</v>
      </c>
      <c r="C31" s="2">
        <f xml:space="preserve"> 0 + 61.445</f>
        <v>61.445</v>
      </c>
      <c r="D31" s="2">
        <v>0</v>
      </c>
      <c r="E31" s="12">
        <f t="shared" si="1"/>
        <v>228.22800000000001</v>
      </c>
      <c r="H31" t="s">
        <v>54</v>
      </c>
    </row>
    <row r="32" spans="1:18" x14ac:dyDescent="0.3">
      <c r="A32" s="3" t="s">
        <v>36</v>
      </c>
      <c r="B32" s="2">
        <f>0</f>
        <v>0</v>
      </c>
      <c r="C32" s="2">
        <f xml:space="preserve"> 53.477+7.354</f>
        <v>60.830999999999996</v>
      </c>
      <c r="D32" s="2">
        <v>0</v>
      </c>
      <c r="E32" s="12">
        <f t="shared" si="1"/>
        <v>60.830999999999996</v>
      </c>
    </row>
    <row r="33" spans="1:12" x14ac:dyDescent="0.3">
      <c r="A33" s="3" t="s">
        <v>13</v>
      </c>
      <c r="B33" s="2">
        <v>0</v>
      </c>
      <c r="C33" s="2">
        <v>0</v>
      </c>
      <c r="D33" s="2">
        <v>0</v>
      </c>
      <c r="E33" s="12">
        <f t="shared" si="1"/>
        <v>0</v>
      </c>
    </row>
    <row r="35" spans="1:12" x14ac:dyDescent="0.3">
      <c r="A35" s="1" t="s">
        <v>20</v>
      </c>
    </row>
    <row r="36" spans="1:12" x14ac:dyDescent="0.3">
      <c r="B36" s="39"/>
      <c r="C36" s="39"/>
      <c r="D36" s="39"/>
      <c r="E36" s="39"/>
      <c r="I36" s="40"/>
      <c r="J36" s="40"/>
      <c r="K36" s="40"/>
      <c r="L36" s="40"/>
    </row>
    <row r="37" spans="1:12" x14ac:dyDescent="0.3">
      <c r="A37" s="9" t="s">
        <v>21</v>
      </c>
      <c r="B37" s="9" t="s">
        <v>34</v>
      </c>
      <c r="C37" s="9" t="s">
        <v>0</v>
      </c>
      <c r="D37" s="9" t="s">
        <v>37</v>
      </c>
      <c r="E37" s="9" t="s">
        <v>1</v>
      </c>
    </row>
    <row r="38" spans="1:12" x14ac:dyDescent="0.3">
      <c r="A38" s="3" t="s">
        <v>22</v>
      </c>
      <c r="B38" s="2">
        <v>0</v>
      </c>
      <c r="C38" s="2">
        <v>0</v>
      </c>
      <c r="D38" s="2">
        <v>0</v>
      </c>
      <c r="E38" s="12">
        <f xml:space="preserve"> SUM(B38:D38)</f>
        <v>0</v>
      </c>
    </row>
    <row r="39" spans="1:12" x14ac:dyDescent="0.3">
      <c r="A39" s="3" t="s">
        <v>23</v>
      </c>
      <c r="B39" s="2">
        <v>31.984999999999999</v>
      </c>
      <c r="C39" s="2">
        <v>4.2160000000000002</v>
      </c>
      <c r="D39" s="2">
        <v>0</v>
      </c>
      <c r="E39" s="12">
        <f t="shared" ref="E39:E43" si="2" xml:space="preserve"> SUM(B39:D39)</f>
        <v>36.201000000000001</v>
      </c>
    </row>
    <row r="40" spans="1:12" x14ac:dyDescent="0.3">
      <c r="A40" s="3" t="s">
        <v>24</v>
      </c>
      <c r="B40" s="2">
        <f xml:space="preserve"> 413.839+71.162</f>
        <v>485.00099999999998</v>
      </c>
      <c r="C40" s="2">
        <f>13.718</f>
        <v>13.718</v>
      </c>
      <c r="D40" s="2">
        <v>0</v>
      </c>
      <c r="E40" s="12">
        <f t="shared" si="2"/>
        <v>498.71899999999999</v>
      </c>
    </row>
    <row r="41" spans="1:12" x14ac:dyDescent="0.3">
      <c r="A41" s="3" t="s">
        <v>25</v>
      </c>
      <c r="B41" s="2">
        <f xml:space="preserve"> 284.271+197.329</f>
        <v>481.6</v>
      </c>
      <c r="C41" s="2">
        <f>76.264+89.212</f>
        <v>165.476</v>
      </c>
      <c r="D41" s="2">
        <v>0</v>
      </c>
      <c r="E41" s="12">
        <f t="shared" si="2"/>
        <v>647.07600000000002</v>
      </c>
    </row>
    <row r="42" spans="1:12" x14ac:dyDescent="0.3">
      <c r="A42" s="3" t="s">
        <v>26</v>
      </c>
      <c r="B42" s="2">
        <f xml:space="preserve"> 266.375+333.392</f>
        <v>599.76700000000005</v>
      </c>
      <c r="C42" s="2">
        <f>91.869+95.993</f>
        <v>187.86199999999999</v>
      </c>
      <c r="D42" s="2">
        <v>0</v>
      </c>
      <c r="E42" s="12">
        <f t="shared" si="2"/>
        <v>787.62900000000002</v>
      </c>
    </row>
    <row r="43" spans="1:12" x14ac:dyDescent="0.3">
      <c r="A43" s="3" t="s">
        <v>27</v>
      </c>
      <c r="B43" s="2">
        <f>281.374+209.381</f>
        <v>490.755</v>
      </c>
      <c r="C43" s="2">
        <f xml:space="preserve"> 11.035+7.354</f>
        <v>18.388999999999999</v>
      </c>
      <c r="D43" s="2">
        <v>0</v>
      </c>
      <c r="E43" s="12">
        <f t="shared" si="2"/>
        <v>509.14400000000001</v>
      </c>
    </row>
    <row r="45" spans="1:12" x14ac:dyDescent="0.3">
      <c r="A45" s="1" t="s">
        <v>32</v>
      </c>
    </row>
    <row r="46" spans="1:12" x14ac:dyDescent="0.3">
      <c r="B46" s="39"/>
      <c r="C46" s="39"/>
      <c r="D46" s="39"/>
      <c r="E46" s="39"/>
      <c r="I46" s="40"/>
      <c r="J46" s="40"/>
      <c r="K46" s="40"/>
      <c r="L46" s="40"/>
    </row>
    <row r="47" spans="1:12" x14ac:dyDescent="0.3">
      <c r="A47" s="9" t="s">
        <v>21</v>
      </c>
      <c r="B47" s="9" t="s">
        <v>34</v>
      </c>
      <c r="C47" s="9" t="s">
        <v>0</v>
      </c>
      <c r="D47" s="9" t="s">
        <v>37</v>
      </c>
      <c r="E47" s="9" t="s">
        <v>1</v>
      </c>
    </row>
    <row r="48" spans="1:12" x14ac:dyDescent="0.3">
      <c r="A48" s="3" t="s">
        <v>22</v>
      </c>
      <c r="B48" s="2">
        <f>272.503+106.094</f>
        <v>378.59699999999998</v>
      </c>
      <c r="C48" s="2">
        <f>96.247+40.653</f>
        <v>136.9</v>
      </c>
      <c r="D48" s="2">
        <v>0</v>
      </c>
      <c r="E48" s="12">
        <f xml:space="preserve"> SUM(B48:D48)</f>
        <v>515.49699999999996</v>
      </c>
    </row>
    <row r="49" spans="1:5" x14ac:dyDescent="0.3">
      <c r="A49" s="3" t="s">
        <v>29</v>
      </c>
      <c r="B49" s="2">
        <f xml:space="preserve"> 499.844+117.108</f>
        <v>616.952</v>
      </c>
      <c r="C49" s="2">
        <v>3.802</v>
      </c>
      <c r="D49" s="2">
        <v>0</v>
      </c>
      <c r="E49" s="12">
        <f t="shared" ref="E49:E52" si="3" xml:space="preserve"> SUM(B49:D49)</f>
        <v>620.75400000000002</v>
      </c>
    </row>
    <row r="50" spans="1:5" x14ac:dyDescent="0.3">
      <c r="A50" s="3" t="s">
        <v>30</v>
      </c>
      <c r="B50" s="2">
        <f xml:space="preserve"> 239.45+349.801</f>
        <v>589.25099999999998</v>
      </c>
      <c r="C50" s="2">
        <f>11.42+149.966</f>
        <v>161.386</v>
      </c>
      <c r="D50" s="2">
        <v>0</v>
      </c>
      <c r="E50" s="12">
        <f t="shared" si="3"/>
        <v>750.63699999999994</v>
      </c>
    </row>
    <row r="51" spans="1:5" x14ac:dyDescent="0.3">
      <c r="A51" s="3" t="s">
        <v>45</v>
      </c>
      <c r="B51" s="2">
        <f>181.274+75.021</f>
        <v>256.29500000000002</v>
      </c>
      <c r="C51" s="2">
        <f>54.482+8.118</f>
        <v>62.6</v>
      </c>
      <c r="D51" s="2">
        <v>0</v>
      </c>
      <c r="E51" s="12">
        <f t="shared" si="3"/>
        <v>318.89500000000004</v>
      </c>
    </row>
    <row r="52" spans="1:5" x14ac:dyDescent="0.3">
      <c r="A52" s="3" t="s">
        <v>31</v>
      </c>
      <c r="B52" s="2">
        <f xml:space="preserve"> 84.772+163.285</f>
        <v>248.05700000000002</v>
      </c>
      <c r="C52" s="2">
        <f>17.433+7.541</f>
        <v>24.974</v>
      </c>
      <c r="D52" s="2">
        <v>0</v>
      </c>
      <c r="E52" s="12">
        <f t="shared" si="3"/>
        <v>273.03100000000001</v>
      </c>
    </row>
  </sheetData>
  <mergeCells count="9">
    <mergeCell ref="B46:E46"/>
    <mergeCell ref="I27:L27"/>
    <mergeCell ref="I36:L36"/>
    <mergeCell ref="I46:L46"/>
    <mergeCell ref="O4:R4"/>
    <mergeCell ref="O27:R27"/>
    <mergeCell ref="B4:E4"/>
    <mergeCell ref="B27:E27"/>
    <mergeCell ref="B36:E36"/>
  </mergeCells>
  <pageMargins left="0.7" right="0.7" top="0.75" bottom="0.75" header="0.3" footer="0.3"/>
  <pageSetup paperSize="17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JBW stats above L. Newton R</vt:lpstr>
      <vt:lpstr>JBW stats above (Clipped)</vt:lpstr>
      <vt:lpstr>JBW stats below L. Newton R</vt:lpstr>
      <vt:lpstr>JBW stats below (Clipped)</vt:lpstr>
      <vt:lpstr>JBW (all stats)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Dave Braun</cp:lastModifiedBy>
  <cp:lastPrinted>2018-04-30T17:36:09Z</cp:lastPrinted>
  <dcterms:created xsi:type="dcterms:W3CDTF">2017-02-18T18:31:49Z</dcterms:created>
  <dcterms:modified xsi:type="dcterms:W3CDTF">2019-05-17T17:20:24Z</dcterms:modified>
</cp:coreProperties>
</file>